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eanywng\Downloads\"/>
    </mc:Choice>
  </mc:AlternateContent>
  <xr:revisionPtr revIDLastSave="0" documentId="13_ncr:1_{086CD1FE-4059-4913-A9F5-41870D64FD57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Inter-sector dataset" sheetId="1" r:id="rId1"/>
    <sheet name="Sheet1" sheetId="3" r:id="rId2"/>
    <sheet name="Sector dataset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4" l="1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DN3" i="1"/>
  <c r="DQ3" i="1"/>
  <c r="DT3" i="1"/>
  <c r="DW3" i="1"/>
  <c r="DZ3" i="1"/>
  <c r="EC3" i="1"/>
  <c r="EF3" i="1"/>
  <c r="EI3" i="1"/>
  <c r="EL3" i="1"/>
  <c r="EO3" i="1"/>
  <c r="ER3" i="1"/>
  <c r="DN4" i="1"/>
  <c r="DQ4" i="1"/>
  <c r="DT4" i="1"/>
  <c r="DW4" i="1"/>
  <c r="DZ4" i="1"/>
  <c r="EC4" i="1"/>
  <c r="EF4" i="1"/>
  <c r="EI4" i="1"/>
  <c r="EL4" i="1"/>
  <c r="EO4" i="1"/>
  <c r="ER4" i="1"/>
  <c r="DN5" i="1"/>
  <c r="DQ5" i="1"/>
  <c r="DT5" i="1"/>
  <c r="DW5" i="1"/>
  <c r="DZ5" i="1"/>
  <c r="EC5" i="1"/>
  <c r="EF5" i="1"/>
  <c r="EI5" i="1"/>
  <c r="EL5" i="1"/>
  <c r="EO5" i="1"/>
  <c r="ER5" i="1"/>
  <c r="DN6" i="1"/>
  <c r="DQ6" i="1"/>
  <c r="DT6" i="1"/>
  <c r="DW6" i="1"/>
  <c r="DZ6" i="1"/>
  <c r="EC6" i="1"/>
  <c r="EF6" i="1"/>
  <c r="EI6" i="1"/>
  <c r="EL6" i="1"/>
  <c r="EO6" i="1"/>
  <c r="ER6" i="1"/>
  <c r="DN7" i="1"/>
  <c r="DQ7" i="1"/>
  <c r="DT7" i="1"/>
  <c r="DW7" i="1"/>
  <c r="DZ7" i="1"/>
  <c r="EC7" i="1"/>
  <c r="EF7" i="1"/>
  <c r="EI7" i="1"/>
  <c r="EL7" i="1"/>
  <c r="EO7" i="1"/>
  <c r="ER7" i="1"/>
  <c r="DN8" i="1"/>
  <c r="DQ8" i="1"/>
  <c r="DT8" i="1"/>
  <c r="DW8" i="1"/>
  <c r="DZ8" i="1"/>
  <c r="EC8" i="1"/>
  <c r="EF8" i="1"/>
  <c r="EI8" i="1"/>
  <c r="EL8" i="1"/>
  <c r="EO8" i="1"/>
  <c r="ER8" i="1"/>
  <c r="DN9" i="1"/>
  <c r="DQ9" i="1"/>
  <c r="DT9" i="1"/>
  <c r="DW9" i="1"/>
  <c r="DZ9" i="1"/>
  <c r="EC9" i="1"/>
  <c r="EF9" i="1"/>
  <c r="EI9" i="1"/>
  <c r="EL9" i="1"/>
  <c r="EO9" i="1"/>
  <c r="ER9" i="1"/>
  <c r="DN10" i="1"/>
  <c r="DQ10" i="1"/>
  <c r="DT10" i="1"/>
  <c r="DW10" i="1"/>
  <c r="DZ10" i="1"/>
  <c r="EC10" i="1"/>
  <c r="EF10" i="1"/>
  <c r="EI10" i="1"/>
  <c r="EL10" i="1"/>
  <c r="EO10" i="1"/>
  <c r="ER10" i="1"/>
  <c r="DN11" i="1"/>
  <c r="DQ11" i="1"/>
  <c r="DT11" i="1"/>
  <c r="DW11" i="1"/>
  <c r="DZ11" i="1"/>
  <c r="EC11" i="1"/>
  <c r="EF11" i="1"/>
  <c r="EI11" i="1"/>
  <c r="EL11" i="1"/>
  <c r="EO11" i="1"/>
  <c r="ER11" i="1"/>
  <c r="DN12" i="1"/>
  <c r="DQ12" i="1"/>
  <c r="DT12" i="1"/>
  <c r="DW12" i="1"/>
  <c r="DZ12" i="1"/>
  <c r="EC12" i="1"/>
  <c r="EF12" i="1"/>
  <c r="EI12" i="1"/>
  <c r="EL12" i="1"/>
  <c r="EO12" i="1"/>
  <c r="ER12" i="1"/>
  <c r="DN13" i="1"/>
  <c r="DQ13" i="1"/>
  <c r="DT13" i="1"/>
  <c r="DW13" i="1"/>
  <c r="DZ13" i="1"/>
  <c r="EC13" i="1"/>
  <c r="EF13" i="1"/>
  <c r="EI13" i="1"/>
  <c r="EL13" i="1"/>
  <c r="EO13" i="1"/>
  <c r="ER13" i="1"/>
  <c r="DN14" i="1"/>
  <c r="DQ14" i="1"/>
  <c r="DT14" i="1"/>
  <c r="DW14" i="1"/>
  <c r="DZ14" i="1"/>
  <c r="EC14" i="1"/>
  <c r="EF14" i="1"/>
  <c r="EI14" i="1"/>
  <c r="EL14" i="1"/>
  <c r="EO14" i="1"/>
  <c r="ER14" i="1"/>
  <c r="DN15" i="1"/>
  <c r="DQ15" i="1"/>
  <c r="DT15" i="1"/>
  <c r="DW15" i="1"/>
  <c r="DZ15" i="1"/>
  <c r="EC15" i="1"/>
  <c r="EF15" i="1"/>
  <c r="EI15" i="1"/>
  <c r="EL15" i="1"/>
  <c r="EO15" i="1"/>
  <c r="ER15" i="1"/>
  <c r="DN16" i="1"/>
  <c r="DQ16" i="1"/>
  <c r="DT16" i="1"/>
  <c r="DW16" i="1"/>
  <c r="DZ16" i="1"/>
  <c r="EC16" i="1"/>
  <c r="EF16" i="1"/>
  <c r="EI16" i="1"/>
  <c r="EL16" i="1"/>
  <c r="EO16" i="1"/>
  <c r="ER16" i="1"/>
  <c r="DN17" i="1"/>
  <c r="DQ17" i="1"/>
  <c r="DT17" i="1"/>
  <c r="DW17" i="1"/>
  <c r="DZ17" i="1"/>
  <c r="EC17" i="1"/>
  <c r="EF17" i="1"/>
  <c r="EI17" i="1"/>
  <c r="EL17" i="1"/>
  <c r="EO17" i="1"/>
  <c r="ER17" i="1"/>
  <c r="DN18" i="1"/>
  <c r="DQ18" i="1"/>
  <c r="DT18" i="1"/>
  <c r="DW18" i="1"/>
  <c r="DZ18" i="1"/>
  <c r="EC18" i="1"/>
  <c r="EF18" i="1"/>
  <c r="EI18" i="1"/>
  <c r="EL18" i="1"/>
  <c r="EO18" i="1"/>
  <c r="ER18" i="1"/>
  <c r="DN19" i="1"/>
  <c r="DQ19" i="1"/>
  <c r="DT19" i="1"/>
  <c r="DW19" i="1"/>
  <c r="DZ19" i="1"/>
  <c r="EC19" i="1"/>
  <c r="EF19" i="1"/>
  <c r="EI19" i="1"/>
  <c r="EL19" i="1"/>
  <c r="EO19" i="1"/>
  <c r="ER19" i="1"/>
  <c r="DN20" i="1"/>
  <c r="DQ20" i="1"/>
  <c r="DT20" i="1"/>
  <c r="DW20" i="1"/>
  <c r="DZ20" i="1"/>
  <c r="EC20" i="1"/>
  <c r="EF20" i="1"/>
  <c r="EI20" i="1"/>
  <c r="EL20" i="1"/>
  <c r="EO20" i="1"/>
  <c r="ER20" i="1"/>
  <c r="DN21" i="1"/>
  <c r="DQ21" i="1"/>
  <c r="DT21" i="1"/>
  <c r="DW21" i="1"/>
  <c r="DZ21" i="1"/>
  <c r="EC21" i="1"/>
  <c r="EF21" i="1"/>
  <c r="EI21" i="1"/>
  <c r="EL21" i="1"/>
  <c r="EO21" i="1"/>
  <c r="ER21" i="1"/>
  <c r="DN22" i="1"/>
  <c r="DQ22" i="1"/>
  <c r="DT22" i="1"/>
  <c r="DW22" i="1"/>
  <c r="DZ22" i="1"/>
  <c r="EC22" i="1"/>
  <c r="EF22" i="1"/>
  <c r="EI22" i="1"/>
  <c r="EL22" i="1"/>
  <c r="EO22" i="1"/>
  <c r="ER22" i="1"/>
  <c r="DN23" i="1"/>
  <c r="DQ23" i="1"/>
  <c r="DT23" i="1"/>
  <c r="DW23" i="1"/>
  <c r="DZ23" i="1"/>
  <c r="EC23" i="1"/>
  <c r="EF23" i="1"/>
  <c r="EI23" i="1"/>
  <c r="EL23" i="1"/>
  <c r="EO23" i="1"/>
  <c r="ER23" i="1"/>
  <c r="DN24" i="1"/>
  <c r="DQ24" i="1"/>
  <c r="DT24" i="1"/>
  <c r="DW24" i="1"/>
  <c r="DZ24" i="1"/>
  <c r="EC24" i="1"/>
  <c r="EF24" i="1"/>
  <c r="EI24" i="1"/>
  <c r="EL24" i="1"/>
  <c r="EO24" i="1"/>
  <c r="ER24" i="1"/>
  <c r="DN25" i="1"/>
  <c r="DQ25" i="1"/>
  <c r="DT25" i="1"/>
  <c r="DW25" i="1"/>
  <c r="DZ25" i="1"/>
  <c r="EC25" i="1"/>
  <c r="EF25" i="1"/>
  <c r="EI25" i="1"/>
  <c r="EL25" i="1"/>
  <c r="EO25" i="1"/>
  <c r="ER25" i="1"/>
  <c r="DN26" i="1"/>
  <c r="DQ26" i="1"/>
  <c r="DT26" i="1"/>
  <c r="DW26" i="1"/>
  <c r="DZ26" i="1"/>
  <c r="EC26" i="1"/>
  <c r="EF26" i="1"/>
  <c r="EI26" i="1"/>
  <c r="EL26" i="1"/>
  <c r="EO26" i="1"/>
  <c r="ER26" i="1"/>
  <c r="DN27" i="1"/>
  <c r="DQ27" i="1"/>
  <c r="DT27" i="1"/>
  <c r="DW27" i="1"/>
  <c r="DZ27" i="1"/>
  <c r="EC27" i="1"/>
  <c r="EF27" i="1"/>
  <c r="EI27" i="1"/>
  <c r="EL27" i="1"/>
  <c r="EO27" i="1"/>
  <c r="ER27" i="1"/>
  <c r="DN28" i="1"/>
  <c r="DQ28" i="1"/>
  <c r="DT28" i="1"/>
  <c r="DW28" i="1"/>
  <c r="DZ28" i="1"/>
  <c r="EC28" i="1"/>
  <c r="EF28" i="1"/>
  <c r="EI28" i="1"/>
  <c r="EL28" i="1"/>
  <c r="EO28" i="1"/>
  <c r="ER28" i="1"/>
  <c r="DN29" i="1"/>
  <c r="DQ29" i="1"/>
  <c r="DT29" i="1"/>
  <c r="DW29" i="1"/>
  <c r="DZ29" i="1"/>
  <c r="EC29" i="1"/>
  <c r="EF29" i="1"/>
  <c r="EI29" i="1"/>
  <c r="EL29" i="1"/>
  <c r="EO29" i="1"/>
  <c r="ER29" i="1"/>
  <c r="DN30" i="1"/>
  <c r="DQ30" i="1"/>
  <c r="DT30" i="1"/>
  <c r="DW30" i="1"/>
  <c r="DZ30" i="1"/>
  <c r="EC30" i="1"/>
  <c r="EF30" i="1"/>
  <c r="EI30" i="1"/>
  <c r="EL30" i="1"/>
  <c r="EO30" i="1"/>
  <c r="ER30" i="1"/>
  <c r="DN31" i="1"/>
  <c r="DQ31" i="1"/>
  <c r="DT31" i="1"/>
  <c r="DW31" i="1"/>
  <c r="DZ31" i="1"/>
  <c r="EC31" i="1"/>
  <c r="EF31" i="1"/>
  <c r="EI31" i="1"/>
  <c r="EL31" i="1"/>
  <c r="EO31" i="1"/>
  <c r="ER31" i="1"/>
  <c r="DN32" i="1"/>
  <c r="DQ32" i="1"/>
  <c r="DT32" i="1"/>
  <c r="DW32" i="1"/>
  <c r="DZ32" i="1"/>
  <c r="EC32" i="1"/>
  <c r="EF32" i="1"/>
  <c r="EI32" i="1"/>
  <c r="EL32" i="1"/>
  <c r="EO32" i="1"/>
  <c r="ER32" i="1"/>
  <c r="DN33" i="1"/>
  <c r="DQ33" i="1"/>
  <c r="DT33" i="1"/>
  <c r="DW33" i="1"/>
  <c r="DZ33" i="1"/>
  <c r="EC33" i="1"/>
  <c r="EF33" i="1"/>
  <c r="EI33" i="1"/>
  <c r="EL33" i="1"/>
  <c r="EO33" i="1"/>
  <c r="ER33" i="1"/>
  <c r="DN34" i="1"/>
  <c r="DQ34" i="1"/>
  <c r="DT34" i="1"/>
  <c r="DW34" i="1"/>
  <c r="DZ34" i="1"/>
  <c r="EC34" i="1"/>
  <c r="EF34" i="1"/>
  <c r="EI34" i="1"/>
  <c r="EL34" i="1"/>
  <c r="EO34" i="1"/>
  <c r="ER34" i="1"/>
  <c r="DN35" i="1"/>
  <c r="DQ35" i="1"/>
  <c r="DT35" i="1"/>
  <c r="DW35" i="1"/>
  <c r="DZ35" i="1"/>
  <c r="EC35" i="1"/>
  <c r="EF35" i="1"/>
  <c r="EI35" i="1"/>
  <c r="EL35" i="1"/>
  <c r="EO35" i="1"/>
  <c r="ER35" i="1"/>
  <c r="DN36" i="1"/>
  <c r="DQ36" i="1"/>
  <c r="DT36" i="1"/>
  <c r="DW36" i="1"/>
  <c r="DZ36" i="1"/>
  <c r="EC36" i="1"/>
  <c r="EF36" i="1"/>
  <c r="EI36" i="1"/>
  <c r="EL36" i="1"/>
  <c r="EO36" i="1"/>
  <c r="ER36" i="1"/>
  <c r="DN37" i="1"/>
  <c r="DQ37" i="1"/>
  <c r="DT37" i="1"/>
  <c r="DW37" i="1"/>
  <c r="DZ37" i="1"/>
  <c r="EC37" i="1"/>
  <c r="EF37" i="1"/>
  <c r="EI37" i="1"/>
  <c r="EL37" i="1"/>
  <c r="EO37" i="1"/>
  <c r="ER37" i="1"/>
  <c r="DN38" i="1"/>
  <c r="DQ38" i="1"/>
  <c r="DT38" i="1"/>
  <c r="DW38" i="1"/>
  <c r="DZ38" i="1"/>
  <c r="EC38" i="1"/>
  <c r="EF38" i="1"/>
  <c r="EI38" i="1"/>
  <c r="EL38" i="1"/>
  <c r="EO38" i="1"/>
  <c r="ER38" i="1"/>
  <c r="DN39" i="1"/>
  <c r="DQ39" i="1"/>
  <c r="DT39" i="1"/>
  <c r="DW39" i="1"/>
  <c r="DZ39" i="1"/>
  <c r="EC39" i="1"/>
  <c r="EF39" i="1"/>
  <c r="EI39" i="1"/>
  <c r="EL39" i="1"/>
  <c r="EO39" i="1"/>
  <c r="ER39" i="1"/>
  <c r="DN40" i="1"/>
  <c r="DQ40" i="1"/>
  <c r="DT40" i="1"/>
  <c r="DW40" i="1"/>
  <c r="DZ40" i="1"/>
  <c r="EC40" i="1"/>
  <c r="EF40" i="1"/>
  <c r="EI40" i="1"/>
  <c r="EL40" i="1"/>
  <c r="EO40" i="1"/>
  <c r="ER40" i="1"/>
  <c r="DN41" i="1"/>
  <c r="DQ41" i="1"/>
  <c r="DT41" i="1"/>
  <c r="DW41" i="1"/>
  <c r="DZ41" i="1"/>
  <c r="EC41" i="1"/>
  <c r="EF41" i="1"/>
  <c r="EI41" i="1"/>
  <c r="EL41" i="1"/>
  <c r="EO41" i="1"/>
  <c r="ER41" i="1"/>
  <c r="DN42" i="1"/>
  <c r="DQ42" i="1"/>
  <c r="DT42" i="1"/>
  <c r="DW42" i="1"/>
  <c r="DZ42" i="1"/>
  <c r="EC42" i="1"/>
  <c r="EF42" i="1"/>
  <c r="EI42" i="1"/>
  <c r="EL42" i="1"/>
  <c r="EO42" i="1"/>
  <c r="ER42" i="1"/>
  <c r="DN43" i="1"/>
  <c r="DQ43" i="1"/>
  <c r="DT43" i="1"/>
  <c r="DW43" i="1"/>
  <c r="DZ43" i="1"/>
  <c r="EC43" i="1"/>
  <c r="EF43" i="1"/>
  <c r="EI43" i="1"/>
  <c r="EL43" i="1"/>
  <c r="EO43" i="1"/>
  <c r="ER43" i="1"/>
  <c r="DN44" i="1"/>
  <c r="DQ44" i="1"/>
  <c r="DT44" i="1"/>
  <c r="DW44" i="1"/>
  <c r="DZ44" i="1"/>
  <c r="EC44" i="1"/>
  <c r="EF44" i="1"/>
  <c r="EI44" i="1"/>
  <c r="EL44" i="1"/>
  <c r="EO44" i="1"/>
  <c r="ER44" i="1"/>
  <c r="DN45" i="1"/>
  <c r="DQ45" i="1"/>
  <c r="DT45" i="1"/>
  <c r="DW45" i="1"/>
  <c r="DZ45" i="1"/>
  <c r="EC45" i="1"/>
  <c r="EF45" i="1"/>
  <c r="EI45" i="1"/>
  <c r="EL45" i="1"/>
  <c r="EO45" i="1"/>
  <c r="ER45" i="1"/>
  <c r="DN46" i="1"/>
  <c r="DQ46" i="1"/>
  <c r="DT46" i="1"/>
  <c r="DW46" i="1"/>
  <c r="DZ46" i="1"/>
  <c r="EC46" i="1"/>
  <c r="EF46" i="1"/>
  <c r="EI46" i="1"/>
  <c r="EL46" i="1"/>
  <c r="EO46" i="1"/>
  <c r="ER46" i="1"/>
  <c r="DN47" i="1"/>
  <c r="DQ47" i="1"/>
  <c r="DT47" i="1"/>
  <c r="DW47" i="1"/>
  <c r="DZ47" i="1"/>
  <c r="EC47" i="1"/>
  <c r="EF47" i="1"/>
  <c r="EI47" i="1"/>
  <c r="EL47" i="1"/>
  <c r="EO47" i="1"/>
  <c r="ER47" i="1"/>
  <c r="DN48" i="1"/>
  <c r="DQ48" i="1"/>
  <c r="DT48" i="1"/>
  <c r="DW48" i="1"/>
  <c r="DZ48" i="1"/>
  <c r="EC48" i="1"/>
  <c r="EF48" i="1"/>
  <c r="EI48" i="1"/>
  <c r="EL48" i="1"/>
  <c r="EO48" i="1"/>
  <c r="ER48" i="1"/>
  <c r="DN49" i="1"/>
  <c r="DQ49" i="1"/>
  <c r="DT49" i="1"/>
  <c r="DW49" i="1"/>
  <c r="DZ49" i="1"/>
  <c r="EC49" i="1"/>
  <c r="EF49" i="1"/>
  <c r="EI49" i="1"/>
  <c r="EL49" i="1"/>
  <c r="EO49" i="1"/>
  <c r="ER49" i="1"/>
  <c r="DN50" i="1"/>
  <c r="DQ50" i="1"/>
  <c r="DT50" i="1"/>
  <c r="DW50" i="1"/>
  <c r="DZ50" i="1"/>
  <c r="EC50" i="1"/>
  <c r="EF50" i="1"/>
  <c r="EI50" i="1"/>
  <c r="EL50" i="1"/>
  <c r="EO50" i="1"/>
  <c r="ER50" i="1"/>
  <c r="DN51" i="1"/>
  <c r="DQ51" i="1"/>
  <c r="DT51" i="1"/>
  <c r="DW51" i="1"/>
  <c r="DZ51" i="1"/>
  <c r="EC51" i="1"/>
  <c r="EF51" i="1"/>
  <c r="EI51" i="1"/>
  <c r="EL51" i="1"/>
  <c r="EO51" i="1"/>
  <c r="ER51" i="1"/>
  <c r="DN52" i="1"/>
  <c r="DQ52" i="1"/>
  <c r="DT52" i="1"/>
  <c r="DW52" i="1"/>
  <c r="DZ52" i="1"/>
  <c r="EC52" i="1"/>
  <c r="EF52" i="1"/>
  <c r="EI52" i="1"/>
  <c r="EL52" i="1"/>
  <c r="EO52" i="1"/>
  <c r="ER52" i="1"/>
  <c r="DN53" i="1"/>
  <c r="DQ53" i="1"/>
  <c r="DT53" i="1"/>
  <c r="DW53" i="1"/>
  <c r="DZ53" i="1"/>
  <c r="EC53" i="1"/>
  <c r="EF53" i="1"/>
  <c r="EI53" i="1"/>
  <c r="EL53" i="1"/>
  <c r="EO53" i="1"/>
  <c r="ER53" i="1"/>
  <c r="DN54" i="1"/>
  <c r="DQ54" i="1"/>
  <c r="DT54" i="1"/>
  <c r="DW54" i="1"/>
  <c r="DZ54" i="1"/>
  <c r="EC54" i="1"/>
  <c r="EF54" i="1"/>
  <c r="EI54" i="1"/>
  <c r="EL54" i="1"/>
  <c r="EO54" i="1"/>
  <c r="ER54" i="1"/>
  <c r="DN55" i="1"/>
  <c r="DQ55" i="1"/>
  <c r="DT55" i="1"/>
  <c r="DW55" i="1"/>
  <c r="DZ55" i="1"/>
  <c r="EC55" i="1"/>
  <c r="EF55" i="1"/>
  <c r="EI55" i="1"/>
  <c r="EL55" i="1"/>
  <c r="EO55" i="1"/>
  <c r="ER55" i="1"/>
  <c r="DN56" i="1"/>
  <c r="DQ56" i="1"/>
  <c r="DT56" i="1"/>
  <c r="DW56" i="1"/>
  <c r="DZ56" i="1"/>
  <c r="EC56" i="1"/>
  <c r="EF56" i="1"/>
  <c r="EI56" i="1"/>
  <c r="EL56" i="1"/>
  <c r="EO56" i="1"/>
  <c r="ER56" i="1"/>
  <c r="DN57" i="1"/>
  <c r="DQ57" i="1"/>
  <c r="DT57" i="1"/>
  <c r="DW57" i="1"/>
  <c r="DZ57" i="1"/>
  <c r="EC57" i="1"/>
  <c r="EF57" i="1"/>
  <c r="EI57" i="1"/>
  <c r="EL57" i="1"/>
  <c r="EO57" i="1"/>
  <c r="ER57" i="1"/>
  <c r="DN58" i="1"/>
  <c r="DQ58" i="1"/>
  <c r="DT58" i="1"/>
  <c r="DW58" i="1"/>
  <c r="DZ58" i="1"/>
  <c r="EC58" i="1"/>
  <c r="EF58" i="1"/>
  <c r="EI58" i="1"/>
  <c r="EL58" i="1"/>
  <c r="EO58" i="1"/>
  <c r="ER58" i="1"/>
  <c r="DN59" i="1"/>
  <c r="DQ59" i="1"/>
  <c r="DT59" i="1"/>
  <c r="DW59" i="1"/>
  <c r="DZ59" i="1"/>
  <c r="EC59" i="1"/>
  <c r="EF59" i="1"/>
  <c r="EI59" i="1"/>
  <c r="EL59" i="1"/>
  <c r="EO59" i="1"/>
  <c r="ER59" i="1"/>
  <c r="DN60" i="1"/>
  <c r="DQ60" i="1"/>
  <c r="DT60" i="1"/>
  <c r="DW60" i="1"/>
  <c r="DZ60" i="1"/>
  <c r="EC60" i="1"/>
  <c r="EF60" i="1"/>
  <c r="EI60" i="1"/>
  <c r="EL60" i="1"/>
  <c r="EO60" i="1"/>
  <c r="ER60" i="1"/>
  <c r="DN61" i="1"/>
  <c r="DQ61" i="1"/>
  <c r="DT61" i="1"/>
  <c r="DW61" i="1"/>
  <c r="DZ61" i="1"/>
  <c r="EC61" i="1"/>
  <c r="EF61" i="1"/>
  <c r="EI61" i="1"/>
  <c r="EL61" i="1"/>
  <c r="EO61" i="1"/>
  <c r="ER61" i="1"/>
  <c r="DN62" i="1"/>
  <c r="DQ62" i="1"/>
  <c r="DT62" i="1"/>
  <c r="DW62" i="1"/>
  <c r="DZ62" i="1"/>
  <c r="EC62" i="1"/>
  <c r="EF62" i="1"/>
  <c r="EI62" i="1"/>
  <c r="EL62" i="1"/>
  <c r="EO62" i="1"/>
  <c r="ER62" i="1"/>
  <c r="DN63" i="1"/>
  <c r="DQ63" i="1"/>
  <c r="DT63" i="1"/>
  <c r="DW63" i="1"/>
  <c r="DZ63" i="1"/>
  <c r="EC63" i="1"/>
  <c r="EF63" i="1"/>
  <c r="EI63" i="1"/>
  <c r="EL63" i="1"/>
  <c r="EO63" i="1"/>
  <c r="ER63" i="1"/>
  <c r="DN64" i="1"/>
  <c r="DQ64" i="1"/>
  <c r="DT64" i="1"/>
  <c r="DW64" i="1"/>
  <c r="DZ64" i="1"/>
  <c r="EC64" i="1"/>
  <c r="EF64" i="1"/>
  <c r="EI64" i="1"/>
  <c r="EL64" i="1"/>
  <c r="EO64" i="1"/>
  <c r="ER64" i="1"/>
  <c r="DN65" i="1"/>
  <c r="DQ65" i="1"/>
  <c r="DT65" i="1"/>
  <c r="DW65" i="1"/>
  <c r="DZ65" i="1"/>
  <c r="EC65" i="1"/>
  <c r="EF65" i="1"/>
  <c r="EI65" i="1"/>
  <c r="EL65" i="1"/>
  <c r="EO65" i="1"/>
  <c r="ER65" i="1"/>
  <c r="DN66" i="1"/>
  <c r="DQ66" i="1"/>
  <c r="DT66" i="1"/>
  <c r="DW66" i="1"/>
  <c r="DZ66" i="1"/>
  <c r="EC66" i="1"/>
  <c r="EF66" i="1"/>
  <c r="EI66" i="1"/>
  <c r="EL66" i="1"/>
  <c r="EO66" i="1"/>
  <c r="ER66" i="1"/>
  <c r="DN67" i="1"/>
  <c r="DQ67" i="1"/>
  <c r="DT67" i="1"/>
  <c r="DW67" i="1"/>
  <c r="DZ67" i="1"/>
  <c r="EC67" i="1"/>
  <c r="EF67" i="1"/>
  <c r="EI67" i="1"/>
  <c r="EL67" i="1"/>
  <c r="EO67" i="1"/>
  <c r="ER67" i="1"/>
  <c r="DN68" i="1"/>
  <c r="DQ68" i="1"/>
  <c r="DT68" i="1"/>
  <c r="DW68" i="1"/>
  <c r="DZ68" i="1"/>
  <c r="EC68" i="1"/>
  <c r="EF68" i="1"/>
  <c r="EI68" i="1"/>
  <c r="EL68" i="1"/>
  <c r="EO68" i="1"/>
  <c r="ER68" i="1"/>
  <c r="DN69" i="1"/>
  <c r="DQ69" i="1"/>
  <c r="DT69" i="1"/>
  <c r="DW69" i="1"/>
  <c r="DZ69" i="1"/>
  <c r="EC69" i="1"/>
  <c r="EF69" i="1"/>
  <c r="EI69" i="1"/>
  <c r="EL69" i="1"/>
  <c r="EO69" i="1"/>
  <c r="ER69" i="1"/>
  <c r="DN70" i="1"/>
  <c r="DQ70" i="1"/>
  <c r="DT70" i="1"/>
  <c r="DW70" i="1"/>
  <c r="DZ70" i="1"/>
  <c r="EC70" i="1"/>
  <c r="EF70" i="1"/>
  <c r="EI70" i="1"/>
  <c r="EL70" i="1"/>
  <c r="EO70" i="1"/>
  <c r="ER70" i="1"/>
  <c r="DN71" i="1"/>
  <c r="DQ71" i="1"/>
  <c r="DT71" i="1"/>
  <c r="DW71" i="1"/>
  <c r="DZ71" i="1"/>
  <c r="EC71" i="1"/>
  <c r="EF71" i="1"/>
  <c r="EI71" i="1"/>
  <c r="EL71" i="1"/>
  <c r="EO71" i="1"/>
  <c r="ER71" i="1"/>
  <c r="DN72" i="1"/>
  <c r="DQ72" i="1"/>
  <c r="DT72" i="1"/>
  <c r="DW72" i="1"/>
  <c r="DZ72" i="1"/>
  <c r="EC72" i="1"/>
  <c r="EF72" i="1"/>
  <c r="EI72" i="1"/>
  <c r="EL72" i="1"/>
  <c r="EO72" i="1"/>
  <c r="ER72" i="1"/>
  <c r="DN73" i="1"/>
  <c r="DQ73" i="1"/>
  <c r="DT73" i="1"/>
  <c r="DW73" i="1"/>
  <c r="DZ73" i="1"/>
  <c r="EC73" i="1"/>
  <c r="EF73" i="1"/>
  <c r="EI73" i="1"/>
  <c r="EL73" i="1"/>
  <c r="EO73" i="1"/>
  <c r="ER73" i="1"/>
  <c r="DN74" i="1"/>
  <c r="DQ74" i="1"/>
  <c r="DT74" i="1"/>
  <c r="DW74" i="1"/>
  <c r="DZ74" i="1"/>
  <c r="EC74" i="1"/>
  <c r="EF74" i="1"/>
  <c r="EI74" i="1"/>
  <c r="EL74" i="1"/>
  <c r="EO74" i="1"/>
  <c r="ER74" i="1"/>
  <c r="DN75" i="1"/>
  <c r="DQ75" i="1"/>
  <c r="DT75" i="1"/>
  <c r="DW75" i="1"/>
  <c r="DZ75" i="1"/>
  <c r="EC75" i="1"/>
  <c r="EF75" i="1"/>
  <c r="EI75" i="1"/>
  <c r="EL75" i="1"/>
  <c r="EO75" i="1"/>
  <c r="ER75" i="1"/>
  <c r="DN76" i="1"/>
  <c r="DQ76" i="1"/>
  <c r="DT76" i="1"/>
  <c r="DW76" i="1"/>
  <c r="DZ76" i="1"/>
  <c r="EC76" i="1"/>
  <c r="EF76" i="1"/>
  <c r="EI76" i="1"/>
  <c r="EL76" i="1"/>
  <c r="EO76" i="1"/>
  <c r="ER76" i="1"/>
  <c r="DN77" i="1"/>
  <c r="DQ77" i="1"/>
  <c r="DT77" i="1"/>
  <c r="DW77" i="1"/>
  <c r="DZ77" i="1"/>
  <c r="EC77" i="1"/>
  <c r="EF77" i="1"/>
  <c r="EI77" i="1"/>
  <c r="EL77" i="1"/>
  <c r="EO77" i="1"/>
  <c r="ER77" i="1"/>
  <c r="DN78" i="1"/>
  <c r="DQ78" i="1"/>
  <c r="DT78" i="1"/>
  <c r="DW78" i="1"/>
  <c r="DZ78" i="1"/>
  <c r="EC78" i="1"/>
  <c r="EF78" i="1"/>
  <c r="EI78" i="1"/>
  <c r="EL78" i="1"/>
  <c r="EO78" i="1"/>
  <c r="ER78" i="1"/>
  <c r="DN79" i="1"/>
  <c r="DQ79" i="1"/>
  <c r="DT79" i="1"/>
  <c r="DW79" i="1"/>
  <c r="DZ79" i="1"/>
  <c r="EC79" i="1"/>
  <c r="EF79" i="1"/>
  <c r="EI79" i="1"/>
  <c r="EL79" i="1"/>
  <c r="EO79" i="1"/>
  <c r="ER79" i="1"/>
  <c r="DN80" i="1"/>
  <c r="DQ80" i="1"/>
  <c r="DT80" i="1"/>
  <c r="DW80" i="1"/>
  <c r="DZ80" i="1"/>
  <c r="EC80" i="1"/>
  <c r="EF80" i="1"/>
  <c r="EI80" i="1"/>
  <c r="EL80" i="1"/>
  <c r="EO80" i="1"/>
  <c r="ER80" i="1"/>
  <c r="DN81" i="1"/>
  <c r="DQ81" i="1"/>
  <c r="DT81" i="1"/>
  <c r="DW81" i="1"/>
  <c r="DZ81" i="1"/>
  <c r="EC81" i="1"/>
  <c r="EF81" i="1"/>
  <c r="EI81" i="1"/>
  <c r="EL81" i="1"/>
  <c r="EO81" i="1"/>
  <c r="ER81" i="1"/>
  <c r="DN82" i="1"/>
  <c r="DQ82" i="1"/>
  <c r="DT82" i="1"/>
  <c r="DW82" i="1"/>
  <c r="DZ82" i="1"/>
  <c r="EC82" i="1"/>
  <c r="EF82" i="1"/>
  <c r="EI82" i="1"/>
  <c r="EL82" i="1"/>
  <c r="EO82" i="1"/>
  <c r="ER82" i="1"/>
  <c r="DN83" i="1"/>
  <c r="DQ83" i="1"/>
  <c r="DT83" i="1"/>
  <c r="DW83" i="1"/>
  <c r="DZ83" i="1"/>
  <c r="EC83" i="1"/>
  <c r="EF83" i="1"/>
  <c r="EI83" i="1"/>
  <c r="EL83" i="1"/>
  <c r="EO83" i="1"/>
  <c r="ER83" i="1"/>
  <c r="DN84" i="1"/>
  <c r="DQ84" i="1"/>
  <c r="DT84" i="1"/>
  <c r="DW84" i="1"/>
  <c r="DZ84" i="1"/>
  <c r="EC84" i="1"/>
  <c r="EF84" i="1"/>
  <c r="EI84" i="1"/>
  <c r="EL84" i="1"/>
  <c r="EO84" i="1"/>
  <c r="ER84" i="1"/>
  <c r="DN85" i="1"/>
  <c r="DQ85" i="1"/>
  <c r="DT85" i="1"/>
  <c r="DW85" i="1"/>
  <c r="DZ85" i="1"/>
  <c r="EC85" i="1"/>
  <c r="EF85" i="1"/>
  <c r="EI85" i="1"/>
  <c r="EL85" i="1"/>
  <c r="EO85" i="1"/>
  <c r="ER85" i="1"/>
  <c r="DN86" i="1"/>
  <c r="DQ86" i="1"/>
  <c r="DT86" i="1"/>
  <c r="DW86" i="1"/>
  <c r="DZ86" i="1"/>
  <c r="EC86" i="1"/>
  <c r="EF86" i="1"/>
  <c r="EI86" i="1"/>
  <c r="EL86" i="1"/>
  <c r="EO86" i="1"/>
  <c r="ER86" i="1"/>
  <c r="DN87" i="1"/>
  <c r="DQ87" i="1"/>
  <c r="DT87" i="1"/>
  <c r="DW87" i="1"/>
  <c r="DZ87" i="1"/>
  <c r="EC87" i="1"/>
  <c r="EF87" i="1"/>
  <c r="EI87" i="1"/>
  <c r="EL87" i="1"/>
  <c r="EO87" i="1"/>
  <c r="ER87" i="1"/>
  <c r="DN88" i="1"/>
  <c r="DQ88" i="1"/>
  <c r="DT88" i="1"/>
  <c r="DW88" i="1"/>
  <c r="DZ88" i="1"/>
  <c r="EC88" i="1"/>
  <c r="EF88" i="1"/>
  <c r="EI88" i="1"/>
  <c r="EL88" i="1"/>
  <c r="EO88" i="1"/>
  <c r="ER88" i="1"/>
  <c r="DN89" i="1"/>
  <c r="DQ89" i="1"/>
  <c r="DT89" i="1"/>
  <c r="DW89" i="1"/>
  <c r="DZ89" i="1"/>
  <c r="EC89" i="1"/>
  <c r="EF89" i="1"/>
  <c r="EI89" i="1"/>
  <c r="EL89" i="1"/>
  <c r="EO89" i="1"/>
  <c r="ER89" i="1"/>
  <c r="DN90" i="1"/>
  <c r="DQ90" i="1"/>
  <c r="DT90" i="1"/>
  <c r="DW90" i="1"/>
  <c r="DZ90" i="1"/>
  <c r="EC90" i="1"/>
  <c r="EF90" i="1"/>
  <c r="EI90" i="1"/>
  <c r="EL90" i="1"/>
  <c r="EO90" i="1"/>
  <c r="ER90" i="1"/>
  <c r="DN91" i="1"/>
  <c r="DQ91" i="1"/>
  <c r="DT91" i="1"/>
  <c r="DW91" i="1"/>
  <c r="DZ91" i="1"/>
  <c r="EC91" i="1"/>
  <c r="EF91" i="1"/>
  <c r="EI91" i="1"/>
  <c r="EL91" i="1"/>
  <c r="EO91" i="1"/>
  <c r="ER91" i="1"/>
  <c r="DN92" i="1"/>
  <c r="DQ92" i="1"/>
  <c r="DT92" i="1"/>
  <c r="DW92" i="1"/>
  <c r="DZ92" i="1"/>
  <c r="EC92" i="1"/>
  <c r="EF92" i="1"/>
  <c r="EI92" i="1"/>
  <c r="EL92" i="1"/>
  <c r="EO92" i="1"/>
  <c r="ER92" i="1"/>
  <c r="DN93" i="1"/>
  <c r="DQ93" i="1"/>
  <c r="DT93" i="1"/>
  <c r="DW93" i="1"/>
  <c r="DZ93" i="1"/>
  <c r="EC93" i="1"/>
  <c r="EF93" i="1"/>
  <c r="EI93" i="1"/>
  <c r="EL93" i="1"/>
  <c r="EO93" i="1"/>
  <c r="ER93" i="1"/>
  <c r="DN94" i="1"/>
  <c r="DQ94" i="1"/>
  <c r="DT94" i="1"/>
  <c r="DW94" i="1"/>
  <c r="DZ94" i="1"/>
  <c r="EC94" i="1"/>
  <c r="EF94" i="1"/>
  <c r="EI94" i="1"/>
  <c r="EL94" i="1"/>
  <c r="EO94" i="1"/>
  <c r="ER94" i="1"/>
  <c r="DN95" i="1"/>
  <c r="DQ95" i="1"/>
  <c r="DT95" i="1"/>
  <c r="DW95" i="1"/>
  <c r="DZ95" i="1"/>
  <c r="EC95" i="1"/>
  <c r="EF95" i="1"/>
  <c r="EI95" i="1"/>
  <c r="EL95" i="1"/>
  <c r="EO95" i="1"/>
  <c r="ER95" i="1"/>
  <c r="DN96" i="1"/>
  <c r="DQ96" i="1"/>
  <c r="DT96" i="1"/>
  <c r="DW96" i="1"/>
  <c r="DZ96" i="1"/>
  <c r="EC96" i="1"/>
  <c r="EF96" i="1"/>
  <c r="EI96" i="1"/>
  <c r="EL96" i="1"/>
  <c r="EO96" i="1"/>
  <c r="ER96" i="1"/>
  <c r="DN97" i="1"/>
  <c r="DQ97" i="1"/>
  <c r="DT97" i="1"/>
  <c r="DW97" i="1"/>
  <c r="DZ97" i="1"/>
  <c r="EC97" i="1"/>
  <c r="EF97" i="1"/>
  <c r="EI97" i="1"/>
  <c r="EL97" i="1"/>
  <c r="EO97" i="1"/>
  <c r="ER97" i="1"/>
  <c r="DN98" i="1"/>
  <c r="DQ98" i="1"/>
  <c r="DT98" i="1"/>
  <c r="DW98" i="1"/>
  <c r="DZ98" i="1"/>
  <c r="EC98" i="1"/>
  <c r="EF98" i="1"/>
  <c r="EI98" i="1"/>
  <c r="EL98" i="1"/>
  <c r="EO98" i="1"/>
  <c r="ER98" i="1"/>
  <c r="DN99" i="1"/>
  <c r="DQ99" i="1"/>
  <c r="DT99" i="1"/>
  <c r="DW99" i="1"/>
  <c r="DZ99" i="1"/>
  <c r="EC99" i="1"/>
  <c r="EF99" i="1"/>
  <c r="EI99" i="1"/>
  <c r="EL99" i="1"/>
  <c r="EO99" i="1"/>
  <c r="ER99" i="1"/>
  <c r="DN100" i="1"/>
  <c r="DQ100" i="1"/>
  <c r="DT100" i="1"/>
  <c r="DW100" i="1"/>
  <c r="DZ100" i="1"/>
  <c r="EC100" i="1"/>
  <c r="EF100" i="1"/>
  <c r="EI100" i="1"/>
  <c r="EL100" i="1"/>
  <c r="EO100" i="1"/>
  <c r="ER100" i="1"/>
  <c r="DN101" i="1"/>
  <c r="DQ101" i="1"/>
  <c r="DT101" i="1"/>
  <c r="DW101" i="1"/>
  <c r="DZ101" i="1"/>
  <c r="EC101" i="1"/>
  <c r="EF101" i="1"/>
  <c r="EI101" i="1"/>
  <c r="EL101" i="1"/>
  <c r="EO101" i="1"/>
  <c r="ER101" i="1"/>
  <c r="DN102" i="1"/>
  <c r="DQ102" i="1"/>
  <c r="DT102" i="1"/>
  <c r="DW102" i="1"/>
  <c r="DZ102" i="1"/>
  <c r="EC102" i="1"/>
  <c r="EF102" i="1"/>
  <c r="EI102" i="1"/>
  <c r="EL102" i="1"/>
  <c r="EO102" i="1"/>
  <c r="ER102" i="1"/>
  <c r="DN103" i="1"/>
  <c r="DQ103" i="1"/>
  <c r="DT103" i="1"/>
  <c r="DW103" i="1"/>
  <c r="DZ103" i="1"/>
  <c r="EC103" i="1"/>
  <c r="EF103" i="1"/>
  <c r="EI103" i="1"/>
  <c r="EL103" i="1"/>
  <c r="EO103" i="1"/>
  <c r="ER103" i="1"/>
  <c r="DN104" i="1"/>
  <c r="DQ104" i="1"/>
  <c r="DT104" i="1"/>
  <c r="DW104" i="1"/>
  <c r="DZ104" i="1"/>
  <c r="EC104" i="1"/>
  <c r="EF104" i="1"/>
  <c r="EI104" i="1"/>
  <c r="EL104" i="1"/>
  <c r="EO104" i="1"/>
  <c r="ER104" i="1"/>
  <c r="DN105" i="1"/>
  <c r="DQ105" i="1"/>
  <c r="DT105" i="1"/>
  <c r="DW105" i="1"/>
  <c r="DZ105" i="1"/>
  <c r="EC105" i="1"/>
  <c r="EF105" i="1"/>
  <c r="EI105" i="1"/>
  <c r="EL105" i="1"/>
  <c r="EO105" i="1"/>
  <c r="ER105" i="1"/>
  <c r="DN106" i="1"/>
  <c r="DQ106" i="1"/>
  <c r="DT106" i="1"/>
  <c r="DW106" i="1"/>
  <c r="DZ106" i="1"/>
  <c r="EC106" i="1"/>
  <c r="EF106" i="1"/>
  <c r="EI106" i="1"/>
  <c r="EL106" i="1"/>
  <c r="EO106" i="1"/>
  <c r="ER106" i="1"/>
  <c r="DN107" i="1"/>
  <c r="DQ107" i="1"/>
  <c r="DT107" i="1"/>
  <c r="DW107" i="1"/>
  <c r="DZ107" i="1"/>
  <c r="EC107" i="1"/>
  <c r="EF107" i="1"/>
  <c r="EI107" i="1"/>
  <c r="EL107" i="1"/>
  <c r="EO107" i="1"/>
  <c r="ER107" i="1"/>
  <c r="DN108" i="1"/>
  <c r="DQ108" i="1"/>
  <c r="DT108" i="1"/>
  <c r="DW108" i="1"/>
  <c r="DZ108" i="1"/>
  <c r="EC108" i="1"/>
  <c r="EF108" i="1"/>
  <c r="EI108" i="1"/>
  <c r="EL108" i="1"/>
  <c r="EO108" i="1"/>
  <c r="ER108" i="1"/>
  <c r="DN109" i="1"/>
  <c r="DQ109" i="1"/>
  <c r="DT109" i="1"/>
  <c r="DW109" i="1"/>
  <c r="DZ109" i="1"/>
  <c r="EC109" i="1"/>
  <c r="EF109" i="1"/>
  <c r="EI109" i="1"/>
  <c r="EL109" i="1"/>
  <c r="EO109" i="1"/>
  <c r="ER109" i="1"/>
  <c r="DN110" i="1"/>
  <c r="DQ110" i="1"/>
  <c r="DT110" i="1"/>
  <c r="DW110" i="1"/>
  <c r="DZ110" i="1"/>
  <c r="EC110" i="1"/>
  <c r="EF110" i="1"/>
  <c r="EI110" i="1"/>
  <c r="EL110" i="1"/>
  <c r="EO110" i="1"/>
  <c r="ER110" i="1"/>
  <c r="DN111" i="1"/>
  <c r="DQ111" i="1"/>
  <c r="DT111" i="1"/>
  <c r="DW111" i="1"/>
  <c r="DZ111" i="1"/>
  <c r="EC111" i="1"/>
  <c r="EF111" i="1"/>
  <c r="EI111" i="1"/>
  <c r="EL111" i="1"/>
  <c r="EO111" i="1"/>
  <c r="ER111" i="1"/>
  <c r="DN112" i="1"/>
  <c r="DQ112" i="1"/>
  <c r="DT112" i="1"/>
  <c r="DW112" i="1"/>
  <c r="DZ112" i="1"/>
  <c r="EC112" i="1"/>
  <c r="EF112" i="1"/>
  <c r="EI112" i="1"/>
  <c r="EL112" i="1"/>
  <c r="EO112" i="1"/>
  <c r="ER112" i="1"/>
  <c r="DN113" i="1"/>
  <c r="DQ113" i="1"/>
  <c r="DT113" i="1"/>
  <c r="DW113" i="1"/>
  <c r="DZ113" i="1"/>
  <c r="EC113" i="1"/>
  <c r="EF113" i="1"/>
  <c r="EI113" i="1"/>
  <c r="EL113" i="1"/>
  <c r="EO113" i="1"/>
  <c r="ER113" i="1"/>
  <c r="DN114" i="1"/>
  <c r="DQ114" i="1"/>
  <c r="DT114" i="1"/>
  <c r="DW114" i="1"/>
  <c r="DZ114" i="1"/>
  <c r="EC114" i="1"/>
  <c r="EF114" i="1"/>
  <c r="EI114" i="1"/>
  <c r="EL114" i="1"/>
  <c r="EO114" i="1"/>
  <c r="ER114" i="1"/>
  <c r="DN115" i="1"/>
  <c r="DQ115" i="1"/>
  <c r="DT115" i="1"/>
  <c r="DW115" i="1"/>
  <c r="DZ115" i="1"/>
  <c r="EC115" i="1"/>
  <c r="EF115" i="1"/>
  <c r="EI115" i="1"/>
  <c r="EL115" i="1"/>
  <c r="EO115" i="1"/>
  <c r="ER115" i="1"/>
  <c r="DN116" i="1"/>
  <c r="DQ116" i="1"/>
  <c r="DT116" i="1"/>
  <c r="DW116" i="1"/>
  <c r="DZ116" i="1"/>
  <c r="EC116" i="1"/>
  <c r="EF116" i="1"/>
  <c r="EI116" i="1"/>
  <c r="EL116" i="1"/>
  <c r="EO116" i="1"/>
  <c r="ER116" i="1"/>
  <c r="DN117" i="1"/>
  <c r="DQ117" i="1"/>
  <c r="DT117" i="1"/>
  <c r="DW117" i="1"/>
  <c r="DZ117" i="1"/>
  <c r="EC117" i="1"/>
  <c r="EF117" i="1"/>
  <c r="EI117" i="1"/>
  <c r="EL117" i="1"/>
  <c r="EO117" i="1"/>
  <c r="ER117" i="1"/>
  <c r="DN118" i="1"/>
  <c r="DQ118" i="1"/>
  <c r="DT118" i="1"/>
  <c r="DW118" i="1"/>
  <c r="DZ118" i="1"/>
  <c r="EC118" i="1"/>
  <c r="EF118" i="1"/>
  <c r="EI118" i="1"/>
  <c r="EL118" i="1"/>
  <c r="EO118" i="1"/>
  <c r="ER118" i="1"/>
  <c r="DN119" i="1"/>
  <c r="DQ119" i="1"/>
  <c r="DT119" i="1"/>
  <c r="DW119" i="1"/>
  <c r="DZ119" i="1"/>
  <c r="EC119" i="1"/>
  <c r="EF119" i="1"/>
  <c r="EI119" i="1"/>
  <c r="EL119" i="1"/>
  <c r="EO119" i="1"/>
  <c r="ER119" i="1"/>
  <c r="DN120" i="1"/>
  <c r="DQ120" i="1"/>
  <c r="DT120" i="1"/>
  <c r="DW120" i="1"/>
  <c r="DZ120" i="1"/>
  <c r="EC120" i="1"/>
  <c r="EF120" i="1"/>
  <c r="EI120" i="1"/>
  <c r="EL120" i="1"/>
  <c r="EO120" i="1"/>
  <c r="ER120" i="1"/>
  <c r="DN121" i="1"/>
  <c r="DQ121" i="1"/>
  <c r="DT121" i="1"/>
  <c r="DW121" i="1"/>
  <c r="DZ121" i="1"/>
  <c r="EC121" i="1"/>
  <c r="EF121" i="1"/>
  <c r="EI121" i="1"/>
  <c r="EL121" i="1"/>
  <c r="EO121" i="1"/>
  <c r="ER121" i="1"/>
  <c r="DN122" i="1"/>
  <c r="DQ122" i="1"/>
  <c r="DT122" i="1"/>
  <c r="DW122" i="1"/>
  <c r="DZ122" i="1"/>
  <c r="EC122" i="1"/>
  <c r="EF122" i="1"/>
  <c r="EI122" i="1"/>
  <c r="EL122" i="1"/>
  <c r="EO122" i="1"/>
  <c r="ER122" i="1"/>
  <c r="DN123" i="1"/>
  <c r="DQ123" i="1"/>
  <c r="DT123" i="1"/>
  <c r="DW123" i="1"/>
  <c r="DZ123" i="1"/>
  <c r="EC123" i="1"/>
  <c r="EF123" i="1"/>
  <c r="EI123" i="1"/>
  <c r="EL123" i="1"/>
  <c r="EO123" i="1"/>
  <c r="ER123" i="1"/>
  <c r="DN124" i="1"/>
  <c r="DQ124" i="1"/>
  <c r="DT124" i="1"/>
  <c r="DW124" i="1"/>
  <c r="DZ124" i="1"/>
  <c r="EC124" i="1"/>
  <c r="EF124" i="1"/>
  <c r="EI124" i="1"/>
  <c r="EL124" i="1"/>
  <c r="EO124" i="1"/>
  <c r="ER124" i="1"/>
  <c r="DN125" i="1"/>
  <c r="DQ125" i="1"/>
  <c r="DT125" i="1"/>
  <c r="DW125" i="1"/>
  <c r="DZ125" i="1"/>
  <c r="EC125" i="1"/>
  <c r="EF125" i="1"/>
  <c r="EI125" i="1"/>
  <c r="EL125" i="1"/>
  <c r="EO125" i="1"/>
  <c r="ER125" i="1"/>
  <c r="DN126" i="1"/>
  <c r="DQ126" i="1"/>
  <c r="DT126" i="1"/>
  <c r="DW126" i="1"/>
  <c r="DZ126" i="1"/>
  <c r="EC126" i="1"/>
  <c r="EF126" i="1"/>
  <c r="EI126" i="1"/>
  <c r="EL126" i="1"/>
  <c r="EO126" i="1"/>
  <c r="ER126" i="1"/>
  <c r="DN127" i="1"/>
  <c r="DQ127" i="1"/>
  <c r="DT127" i="1"/>
  <c r="DW127" i="1"/>
  <c r="DZ127" i="1"/>
  <c r="EC127" i="1"/>
  <c r="EF127" i="1"/>
  <c r="EI127" i="1"/>
  <c r="EL127" i="1"/>
  <c r="EO127" i="1"/>
  <c r="ER127" i="1"/>
  <c r="DN128" i="1"/>
  <c r="DQ128" i="1"/>
  <c r="DT128" i="1"/>
  <c r="DW128" i="1"/>
  <c r="DZ128" i="1"/>
  <c r="EC128" i="1"/>
  <c r="EF128" i="1"/>
  <c r="EI128" i="1"/>
  <c r="EL128" i="1"/>
  <c r="EO128" i="1"/>
  <c r="ER128" i="1"/>
  <c r="DN129" i="1"/>
  <c r="DQ129" i="1"/>
  <c r="DT129" i="1"/>
  <c r="DW129" i="1"/>
  <c r="DZ129" i="1"/>
  <c r="EC129" i="1"/>
  <c r="EF129" i="1"/>
  <c r="EI129" i="1"/>
  <c r="EL129" i="1"/>
  <c r="EO129" i="1"/>
  <c r="ER129" i="1"/>
  <c r="DN130" i="1"/>
  <c r="DQ130" i="1"/>
  <c r="DT130" i="1"/>
  <c r="DW130" i="1"/>
  <c r="DZ130" i="1"/>
  <c r="EC130" i="1"/>
  <c r="EF130" i="1"/>
  <c r="EI130" i="1"/>
  <c r="EL130" i="1"/>
  <c r="EO130" i="1"/>
  <c r="ER130" i="1"/>
  <c r="DN131" i="1"/>
  <c r="DQ131" i="1"/>
  <c r="DT131" i="1"/>
  <c r="DW131" i="1"/>
  <c r="DZ131" i="1"/>
  <c r="EC131" i="1"/>
  <c r="EF131" i="1"/>
  <c r="EI131" i="1"/>
  <c r="EL131" i="1"/>
  <c r="EO131" i="1"/>
  <c r="ER131" i="1"/>
  <c r="DN132" i="1"/>
  <c r="DQ132" i="1"/>
  <c r="DT132" i="1"/>
  <c r="DW132" i="1"/>
  <c r="DZ132" i="1"/>
  <c r="EC132" i="1"/>
  <c r="EF132" i="1"/>
  <c r="EI132" i="1"/>
  <c r="EL132" i="1"/>
  <c r="EO132" i="1"/>
  <c r="ER132" i="1"/>
  <c r="DN133" i="1"/>
  <c r="DQ133" i="1"/>
  <c r="DT133" i="1"/>
  <c r="DW133" i="1"/>
  <c r="DZ133" i="1"/>
  <c r="EC133" i="1"/>
  <c r="EF133" i="1"/>
  <c r="EI133" i="1"/>
  <c r="EL133" i="1"/>
  <c r="EO133" i="1"/>
  <c r="ER133" i="1"/>
  <c r="DN134" i="1"/>
  <c r="DQ134" i="1"/>
  <c r="DT134" i="1"/>
  <c r="DW134" i="1"/>
  <c r="DZ134" i="1"/>
  <c r="EC134" i="1"/>
  <c r="EF134" i="1"/>
  <c r="EI134" i="1"/>
  <c r="EL134" i="1"/>
  <c r="EO134" i="1"/>
  <c r="ER134" i="1"/>
  <c r="DN135" i="1"/>
  <c r="DQ135" i="1"/>
  <c r="DT135" i="1"/>
  <c r="DW135" i="1"/>
  <c r="DZ135" i="1"/>
  <c r="EC135" i="1"/>
  <c r="EF135" i="1"/>
  <c r="EI135" i="1"/>
  <c r="EL135" i="1"/>
  <c r="EO135" i="1"/>
  <c r="ER135" i="1"/>
  <c r="DN136" i="1"/>
  <c r="DQ136" i="1"/>
  <c r="DT136" i="1"/>
  <c r="DW136" i="1"/>
  <c r="DZ136" i="1"/>
  <c r="EC136" i="1"/>
  <c r="EF136" i="1"/>
  <c r="EI136" i="1"/>
  <c r="EL136" i="1"/>
  <c r="EO136" i="1"/>
  <c r="ER136" i="1"/>
  <c r="DN137" i="1"/>
  <c r="DQ137" i="1"/>
  <c r="DT137" i="1"/>
  <c r="DW137" i="1"/>
  <c r="DZ137" i="1"/>
  <c r="EC137" i="1"/>
  <c r="EF137" i="1"/>
  <c r="EI137" i="1"/>
  <c r="EL137" i="1"/>
  <c r="EO137" i="1"/>
  <c r="ER137" i="1"/>
  <c r="DN138" i="1"/>
  <c r="DQ138" i="1"/>
  <c r="DT138" i="1"/>
  <c r="DW138" i="1"/>
  <c r="DZ138" i="1"/>
  <c r="EC138" i="1"/>
  <c r="EF138" i="1"/>
  <c r="EI138" i="1"/>
  <c r="EL138" i="1"/>
  <c r="EO138" i="1"/>
  <c r="ER138" i="1"/>
  <c r="DN139" i="1"/>
  <c r="DQ139" i="1"/>
  <c r="DT139" i="1"/>
  <c r="DW139" i="1"/>
  <c r="DZ139" i="1"/>
  <c r="EC139" i="1"/>
  <c r="EF139" i="1"/>
  <c r="EI139" i="1"/>
  <c r="EL139" i="1"/>
  <c r="EO139" i="1"/>
  <c r="ER139" i="1"/>
  <c r="DN140" i="1"/>
  <c r="DQ140" i="1"/>
  <c r="DT140" i="1"/>
  <c r="DW140" i="1"/>
  <c r="DZ140" i="1"/>
  <c r="EC140" i="1"/>
  <c r="EF140" i="1"/>
  <c r="EI140" i="1"/>
  <c r="EL140" i="1"/>
  <c r="EO140" i="1"/>
  <c r="ER140" i="1"/>
  <c r="DN141" i="1"/>
  <c r="DQ141" i="1"/>
  <c r="DT141" i="1"/>
  <c r="DW141" i="1"/>
  <c r="DZ141" i="1"/>
  <c r="EC141" i="1"/>
  <c r="EF141" i="1"/>
  <c r="EI141" i="1"/>
  <c r="EL141" i="1"/>
  <c r="EO141" i="1"/>
  <c r="ER141" i="1"/>
  <c r="DN142" i="1"/>
  <c r="DQ142" i="1"/>
  <c r="DT142" i="1"/>
  <c r="DW142" i="1"/>
  <c r="DZ142" i="1"/>
  <c r="EC142" i="1"/>
  <c r="EF142" i="1"/>
  <c r="EI142" i="1"/>
  <c r="EL142" i="1"/>
  <c r="EO142" i="1"/>
  <c r="ER142" i="1"/>
  <c r="DN143" i="1"/>
  <c r="DQ143" i="1"/>
  <c r="DT143" i="1"/>
  <c r="DW143" i="1"/>
  <c r="DZ143" i="1"/>
  <c r="EC143" i="1"/>
  <c r="EF143" i="1"/>
  <c r="EI143" i="1"/>
  <c r="EL143" i="1"/>
  <c r="EO143" i="1"/>
  <c r="ER143" i="1"/>
  <c r="DN144" i="1"/>
  <c r="DQ144" i="1"/>
  <c r="DT144" i="1"/>
  <c r="DW144" i="1"/>
  <c r="DZ144" i="1"/>
  <c r="EC144" i="1"/>
  <c r="EF144" i="1"/>
  <c r="EI144" i="1"/>
  <c r="EL144" i="1"/>
  <c r="EO144" i="1"/>
  <c r="ER144" i="1"/>
  <c r="DN145" i="1"/>
  <c r="DQ145" i="1"/>
  <c r="DT145" i="1"/>
  <c r="DW145" i="1"/>
  <c r="DZ145" i="1"/>
  <c r="EC145" i="1"/>
  <c r="EF145" i="1"/>
  <c r="EI145" i="1"/>
  <c r="EL145" i="1"/>
  <c r="EO145" i="1"/>
  <c r="ER145" i="1"/>
  <c r="DN146" i="1"/>
  <c r="DQ146" i="1"/>
  <c r="DT146" i="1"/>
  <c r="DW146" i="1"/>
  <c r="DZ146" i="1"/>
  <c r="EC146" i="1"/>
  <c r="EF146" i="1"/>
  <c r="EI146" i="1"/>
  <c r="EL146" i="1"/>
  <c r="EO146" i="1"/>
  <c r="ER146" i="1"/>
  <c r="DN147" i="1"/>
  <c r="DQ147" i="1"/>
  <c r="DT147" i="1"/>
  <c r="DW147" i="1"/>
  <c r="DZ147" i="1"/>
  <c r="EC147" i="1"/>
  <c r="EF147" i="1"/>
  <c r="EI147" i="1"/>
  <c r="EL147" i="1"/>
  <c r="EO147" i="1"/>
  <c r="ER147" i="1"/>
  <c r="DN148" i="1"/>
  <c r="DQ148" i="1"/>
  <c r="DT148" i="1"/>
  <c r="DW148" i="1"/>
  <c r="DZ148" i="1"/>
  <c r="EC148" i="1"/>
  <c r="EF148" i="1"/>
  <c r="EI148" i="1"/>
  <c r="EL148" i="1"/>
  <c r="EO148" i="1"/>
  <c r="ER148" i="1"/>
  <c r="DN149" i="1"/>
  <c r="DQ149" i="1"/>
  <c r="DT149" i="1"/>
  <c r="DW149" i="1"/>
  <c r="DZ149" i="1"/>
  <c r="EC149" i="1"/>
  <c r="EF149" i="1"/>
  <c r="EI149" i="1"/>
  <c r="EL149" i="1"/>
  <c r="EO149" i="1"/>
  <c r="ER149" i="1"/>
  <c r="DN150" i="1"/>
  <c r="DQ150" i="1"/>
  <c r="DT150" i="1"/>
  <c r="DW150" i="1"/>
  <c r="DZ150" i="1"/>
  <c r="EC150" i="1"/>
  <c r="EF150" i="1"/>
  <c r="EI150" i="1"/>
  <c r="EL150" i="1"/>
  <c r="EO150" i="1"/>
  <c r="ER150" i="1"/>
  <c r="DN151" i="1"/>
  <c r="DQ151" i="1"/>
  <c r="DT151" i="1"/>
  <c r="DW151" i="1"/>
  <c r="DZ151" i="1"/>
  <c r="EC151" i="1"/>
  <c r="EF151" i="1"/>
  <c r="EI151" i="1"/>
  <c r="EL151" i="1"/>
  <c r="EO151" i="1"/>
  <c r="ER151" i="1"/>
  <c r="DN152" i="1"/>
  <c r="DQ152" i="1"/>
  <c r="DT152" i="1"/>
  <c r="DW152" i="1"/>
  <c r="DZ152" i="1"/>
  <c r="EC152" i="1"/>
  <c r="EF152" i="1"/>
  <c r="EI152" i="1"/>
  <c r="EL152" i="1"/>
  <c r="EO152" i="1"/>
  <c r="ER152" i="1"/>
  <c r="DN153" i="1"/>
  <c r="DQ153" i="1"/>
  <c r="DT153" i="1"/>
  <c r="DW153" i="1"/>
  <c r="DZ153" i="1"/>
  <c r="EC153" i="1"/>
  <c r="EF153" i="1"/>
  <c r="EI153" i="1"/>
  <c r="EL153" i="1"/>
  <c r="EO153" i="1"/>
  <c r="ER153" i="1"/>
  <c r="DN154" i="1"/>
  <c r="DQ154" i="1"/>
  <c r="DT154" i="1"/>
  <c r="DW154" i="1"/>
  <c r="DZ154" i="1"/>
  <c r="EC154" i="1"/>
  <c r="EF154" i="1"/>
  <c r="EI154" i="1"/>
  <c r="EL154" i="1"/>
  <c r="EO154" i="1"/>
  <c r="ER154" i="1"/>
  <c r="DN155" i="1"/>
  <c r="DQ155" i="1"/>
  <c r="DT155" i="1"/>
  <c r="DW155" i="1"/>
  <c r="DZ155" i="1"/>
  <c r="EC155" i="1"/>
  <c r="EF155" i="1"/>
  <c r="EI155" i="1"/>
  <c r="EL155" i="1"/>
  <c r="EO155" i="1"/>
  <c r="ER155" i="1"/>
  <c r="DN156" i="1"/>
  <c r="DQ156" i="1"/>
  <c r="DT156" i="1"/>
  <c r="DW156" i="1"/>
  <c r="DZ156" i="1"/>
  <c r="EC156" i="1"/>
  <c r="EF156" i="1"/>
  <c r="EI156" i="1"/>
  <c r="EL156" i="1"/>
  <c r="EO156" i="1"/>
  <c r="ER156" i="1"/>
  <c r="DN157" i="1"/>
  <c r="DQ157" i="1"/>
  <c r="DT157" i="1"/>
  <c r="DW157" i="1"/>
  <c r="DZ157" i="1"/>
  <c r="EC157" i="1"/>
  <c r="EF157" i="1"/>
  <c r="EI157" i="1"/>
  <c r="EL157" i="1"/>
  <c r="EO157" i="1"/>
  <c r="ER157" i="1"/>
  <c r="DN158" i="1"/>
  <c r="DQ158" i="1"/>
  <c r="DT158" i="1"/>
  <c r="DW158" i="1"/>
  <c r="DZ158" i="1"/>
  <c r="EC158" i="1"/>
  <c r="EF158" i="1"/>
  <c r="EI158" i="1"/>
  <c r="EL158" i="1"/>
  <c r="EO158" i="1"/>
  <c r="ER158" i="1"/>
  <c r="DN159" i="1"/>
  <c r="DQ159" i="1"/>
  <c r="DT159" i="1"/>
  <c r="DW159" i="1"/>
  <c r="DZ159" i="1"/>
  <c r="EC159" i="1"/>
  <c r="EF159" i="1"/>
  <c r="EI159" i="1"/>
  <c r="EL159" i="1"/>
  <c r="EO159" i="1"/>
  <c r="ER159" i="1"/>
  <c r="DN160" i="1"/>
  <c r="DQ160" i="1"/>
  <c r="DT160" i="1"/>
  <c r="DW160" i="1"/>
  <c r="DZ160" i="1"/>
  <c r="EC160" i="1"/>
  <c r="EF160" i="1"/>
  <c r="EI160" i="1"/>
  <c r="EL160" i="1"/>
  <c r="EO160" i="1"/>
  <c r="ER160" i="1"/>
  <c r="DN161" i="1"/>
  <c r="DQ161" i="1"/>
  <c r="DT161" i="1"/>
  <c r="DW161" i="1"/>
  <c r="DZ161" i="1"/>
  <c r="EC161" i="1"/>
  <c r="EF161" i="1"/>
  <c r="EI161" i="1"/>
  <c r="EL161" i="1"/>
  <c r="EO161" i="1"/>
  <c r="ER161" i="1"/>
  <c r="DN162" i="1"/>
  <c r="DQ162" i="1"/>
  <c r="DT162" i="1"/>
  <c r="DW162" i="1"/>
  <c r="DZ162" i="1"/>
  <c r="EC162" i="1"/>
  <c r="EF162" i="1"/>
  <c r="EI162" i="1"/>
  <c r="EL162" i="1"/>
  <c r="EO162" i="1"/>
  <c r="ER162" i="1"/>
  <c r="DN163" i="1"/>
  <c r="DQ163" i="1"/>
  <c r="DT163" i="1"/>
  <c r="DW163" i="1"/>
  <c r="DZ163" i="1"/>
  <c r="EC163" i="1"/>
  <c r="EF163" i="1"/>
  <c r="EI163" i="1"/>
  <c r="EL163" i="1"/>
  <c r="EO163" i="1"/>
  <c r="ER163" i="1"/>
  <c r="DN164" i="1"/>
  <c r="DQ164" i="1"/>
  <c r="DT164" i="1"/>
  <c r="DW164" i="1"/>
  <c r="DZ164" i="1"/>
  <c r="EC164" i="1"/>
  <c r="EF164" i="1"/>
  <c r="EI164" i="1"/>
  <c r="EL164" i="1"/>
  <c r="EO164" i="1"/>
  <c r="ER164" i="1"/>
  <c r="DN165" i="1"/>
  <c r="DQ165" i="1"/>
  <c r="DT165" i="1"/>
  <c r="DW165" i="1"/>
  <c r="DZ165" i="1"/>
  <c r="EC165" i="1"/>
  <c r="EF165" i="1"/>
  <c r="EI165" i="1"/>
  <c r="EL165" i="1"/>
  <c r="EO165" i="1"/>
  <c r="ER165" i="1"/>
  <c r="DN166" i="1"/>
  <c r="DQ166" i="1"/>
  <c r="DT166" i="1"/>
  <c r="DW166" i="1"/>
  <c r="DZ166" i="1"/>
  <c r="EC166" i="1"/>
  <c r="EF166" i="1"/>
  <c r="EI166" i="1"/>
  <c r="EL166" i="1"/>
  <c r="EO166" i="1"/>
  <c r="ER166" i="1"/>
  <c r="DN167" i="1"/>
  <c r="DQ167" i="1"/>
  <c r="DT167" i="1"/>
  <c r="DW167" i="1"/>
  <c r="DZ167" i="1"/>
  <c r="EC167" i="1"/>
  <c r="EF167" i="1"/>
  <c r="EI167" i="1"/>
  <c r="EL167" i="1"/>
  <c r="EO167" i="1"/>
  <c r="ER167" i="1"/>
  <c r="DN168" i="1"/>
  <c r="DQ168" i="1"/>
  <c r="DT168" i="1"/>
  <c r="DW168" i="1"/>
  <c r="DZ168" i="1"/>
  <c r="EC168" i="1"/>
  <c r="EF168" i="1"/>
  <c r="EI168" i="1"/>
  <c r="EL168" i="1"/>
  <c r="EO168" i="1"/>
  <c r="ER168" i="1"/>
  <c r="DN169" i="1"/>
  <c r="DQ169" i="1"/>
  <c r="DT169" i="1"/>
  <c r="DW169" i="1"/>
  <c r="DZ169" i="1"/>
  <c r="EC169" i="1"/>
  <c r="EF169" i="1"/>
  <c r="EI169" i="1"/>
  <c r="EL169" i="1"/>
  <c r="EO169" i="1"/>
  <c r="ER169" i="1"/>
  <c r="DN170" i="1"/>
  <c r="DQ170" i="1"/>
  <c r="DT170" i="1"/>
  <c r="DW170" i="1"/>
  <c r="DZ170" i="1"/>
  <c r="EC170" i="1"/>
  <c r="EF170" i="1"/>
  <c r="EI170" i="1"/>
  <c r="EL170" i="1"/>
  <c r="EO170" i="1"/>
  <c r="ER170" i="1"/>
  <c r="DN171" i="1"/>
  <c r="DQ171" i="1"/>
  <c r="DT171" i="1"/>
  <c r="DW171" i="1"/>
  <c r="DZ171" i="1"/>
  <c r="EC171" i="1"/>
  <c r="EF171" i="1"/>
  <c r="EI171" i="1"/>
  <c r="EL171" i="1"/>
  <c r="EO171" i="1"/>
  <c r="ER171" i="1"/>
  <c r="DN172" i="1"/>
  <c r="DQ172" i="1"/>
  <c r="DT172" i="1"/>
  <c r="DW172" i="1"/>
  <c r="DZ172" i="1"/>
  <c r="EC172" i="1"/>
  <c r="EF172" i="1"/>
  <c r="EI172" i="1"/>
  <c r="EL172" i="1"/>
  <c r="EO172" i="1"/>
  <c r="ER172" i="1"/>
  <c r="DN173" i="1"/>
  <c r="DQ173" i="1"/>
  <c r="DT173" i="1"/>
  <c r="DW173" i="1"/>
  <c r="DZ173" i="1"/>
  <c r="EC173" i="1"/>
  <c r="EF173" i="1"/>
  <c r="EI173" i="1"/>
  <c r="EL173" i="1"/>
  <c r="EO173" i="1"/>
  <c r="ER173" i="1"/>
  <c r="DN174" i="1"/>
  <c r="DQ174" i="1"/>
  <c r="DT174" i="1"/>
  <c r="DW174" i="1"/>
  <c r="DZ174" i="1"/>
  <c r="EC174" i="1"/>
  <c r="EF174" i="1"/>
  <c r="EI174" i="1"/>
  <c r="EL174" i="1"/>
  <c r="EO174" i="1"/>
  <c r="ER174" i="1"/>
  <c r="DN175" i="1"/>
  <c r="DQ175" i="1"/>
  <c r="DT175" i="1"/>
  <c r="DW175" i="1"/>
  <c r="DZ175" i="1"/>
  <c r="EC175" i="1"/>
  <c r="EF175" i="1"/>
  <c r="EI175" i="1"/>
  <c r="EL175" i="1"/>
  <c r="EO175" i="1"/>
  <c r="ER175" i="1"/>
  <c r="DN176" i="1"/>
  <c r="DQ176" i="1"/>
  <c r="DT176" i="1"/>
  <c r="DW176" i="1"/>
  <c r="DZ176" i="1"/>
  <c r="EC176" i="1"/>
  <c r="EF176" i="1"/>
  <c r="EI176" i="1"/>
  <c r="EL176" i="1"/>
  <c r="EO176" i="1"/>
  <c r="ER176" i="1"/>
  <c r="DN177" i="1"/>
  <c r="DQ177" i="1"/>
  <c r="DT177" i="1"/>
  <c r="DW177" i="1"/>
  <c r="DZ177" i="1"/>
  <c r="EC177" i="1"/>
  <c r="EF177" i="1"/>
  <c r="EI177" i="1"/>
  <c r="EL177" i="1"/>
  <c r="EO177" i="1"/>
  <c r="ER177" i="1"/>
  <c r="DN178" i="1"/>
  <c r="DQ178" i="1"/>
  <c r="DT178" i="1"/>
  <c r="DW178" i="1"/>
  <c r="DZ178" i="1"/>
  <c r="EC178" i="1"/>
  <c r="EF178" i="1"/>
  <c r="EI178" i="1"/>
  <c r="EL178" i="1"/>
  <c r="EO178" i="1"/>
  <c r="ER178" i="1"/>
  <c r="DN179" i="1"/>
  <c r="DQ179" i="1"/>
  <c r="DT179" i="1"/>
  <c r="DW179" i="1"/>
  <c r="DZ179" i="1"/>
  <c r="EC179" i="1"/>
  <c r="EF179" i="1"/>
  <c r="EI179" i="1"/>
  <c r="EL179" i="1"/>
  <c r="EO179" i="1"/>
  <c r="ER179" i="1"/>
  <c r="DN180" i="1"/>
  <c r="DQ180" i="1"/>
  <c r="DT180" i="1"/>
  <c r="DW180" i="1"/>
  <c r="DZ180" i="1"/>
  <c r="EC180" i="1"/>
  <c r="EF180" i="1"/>
  <c r="EI180" i="1"/>
  <c r="EL180" i="1"/>
  <c r="EO180" i="1"/>
  <c r="ER180" i="1"/>
  <c r="DN181" i="1"/>
  <c r="DQ181" i="1"/>
  <c r="DT181" i="1"/>
  <c r="DW181" i="1"/>
  <c r="DZ181" i="1"/>
  <c r="EC181" i="1"/>
  <c r="EF181" i="1"/>
  <c r="EI181" i="1"/>
  <c r="EL181" i="1"/>
  <c r="EO181" i="1"/>
  <c r="ER181" i="1"/>
  <c r="DN182" i="1"/>
  <c r="DQ182" i="1"/>
  <c r="DT182" i="1"/>
  <c r="DW182" i="1"/>
  <c r="DZ182" i="1"/>
  <c r="EC182" i="1"/>
  <c r="EF182" i="1"/>
  <c r="EI182" i="1"/>
  <c r="EL182" i="1"/>
  <c r="EO182" i="1"/>
  <c r="ER182" i="1"/>
  <c r="DN183" i="1"/>
  <c r="DQ183" i="1"/>
  <c r="DT183" i="1"/>
  <c r="DW183" i="1"/>
  <c r="DZ183" i="1"/>
  <c r="EC183" i="1"/>
  <c r="EF183" i="1"/>
  <c r="EI183" i="1"/>
  <c r="EL183" i="1"/>
  <c r="EO183" i="1"/>
  <c r="ER183" i="1"/>
  <c r="DN184" i="1"/>
  <c r="DQ184" i="1"/>
  <c r="DT184" i="1"/>
  <c r="DW184" i="1"/>
  <c r="DZ184" i="1"/>
  <c r="EC184" i="1"/>
  <c r="EF184" i="1"/>
  <c r="EI184" i="1"/>
  <c r="EL184" i="1"/>
  <c r="EO184" i="1"/>
  <c r="ER184" i="1"/>
  <c r="DN185" i="1"/>
  <c r="DQ185" i="1"/>
  <c r="DT185" i="1"/>
  <c r="DW185" i="1"/>
  <c r="DZ185" i="1"/>
  <c r="EC185" i="1"/>
  <c r="EF185" i="1"/>
  <c r="EI185" i="1"/>
  <c r="EL185" i="1"/>
  <c r="EO185" i="1"/>
  <c r="ER185" i="1"/>
  <c r="DN186" i="1"/>
  <c r="DQ186" i="1"/>
  <c r="DT186" i="1"/>
  <c r="DW186" i="1"/>
  <c r="DZ186" i="1"/>
  <c r="EC186" i="1"/>
  <c r="EF186" i="1"/>
  <c r="EI186" i="1"/>
  <c r="EL186" i="1"/>
  <c r="EO186" i="1"/>
  <c r="ER186" i="1"/>
  <c r="DN187" i="1"/>
  <c r="DQ187" i="1"/>
  <c r="DT187" i="1"/>
  <c r="DW187" i="1"/>
  <c r="DZ187" i="1"/>
  <c r="EC187" i="1"/>
  <c r="EF187" i="1"/>
  <c r="EI187" i="1"/>
  <c r="EL187" i="1"/>
  <c r="EO187" i="1"/>
  <c r="ER187" i="1"/>
  <c r="DN188" i="1"/>
  <c r="DQ188" i="1"/>
  <c r="DT188" i="1"/>
  <c r="DW188" i="1"/>
  <c r="DZ188" i="1"/>
  <c r="EC188" i="1"/>
  <c r="EF188" i="1"/>
  <c r="EI188" i="1"/>
  <c r="EL188" i="1"/>
  <c r="EO188" i="1"/>
  <c r="ER188" i="1"/>
  <c r="DN189" i="1"/>
  <c r="DQ189" i="1"/>
  <c r="DT189" i="1"/>
  <c r="DW189" i="1"/>
  <c r="DZ189" i="1"/>
  <c r="EC189" i="1"/>
  <c r="EF189" i="1"/>
  <c r="EI189" i="1"/>
  <c r="EL189" i="1"/>
  <c r="EO189" i="1"/>
  <c r="ER189" i="1"/>
  <c r="DN190" i="1"/>
  <c r="DQ190" i="1"/>
  <c r="DT190" i="1"/>
  <c r="DW190" i="1"/>
  <c r="DZ190" i="1"/>
  <c r="EC190" i="1"/>
  <c r="EF190" i="1"/>
  <c r="EI190" i="1"/>
  <c r="EL190" i="1"/>
  <c r="EO190" i="1"/>
  <c r="ER190" i="1"/>
  <c r="DN191" i="1"/>
  <c r="DQ191" i="1"/>
  <c r="DT191" i="1"/>
  <c r="DW191" i="1"/>
  <c r="DZ191" i="1"/>
  <c r="EC191" i="1"/>
  <c r="EF191" i="1"/>
  <c r="EI191" i="1"/>
  <c r="EL191" i="1"/>
  <c r="EO191" i="1"/>
  <c r="ER191" i="1"/>
  <c r="DN192" i="1"/>
  <c r="DQ192" i="1"/>
  <c r="DT192" i="1"/>
  <c r="DW192" i="1"/>
  <c r="DZ192" i="1"/>
  <c r="EC192" i="1"/>
  <c r="EF192" i="1"/>
  <c r="EI192" i="1"/>
  <c r="EL192" i="1"/>
  <c r="EO192" i="1"/>
  <c r="ER192" i="1"/>
  <c r="DN193" i="1"/>
  <c r="DQ193" i="1"/>
  <c r="DT193" i="1"/>
  <c r="DW193" i="1"/>
  <c r="DZ193" i="1"/>
  <c r="EC193" i="1"/>
  <c r="EF193" i="1"/>
  <c r="EI193" i="1"/>
  <c r="EL193" i="1"/>
  <c r="EO193" i="1"/>
  <c r="ER193" i="1"/>
  <c r="DN194" i="1"/>
  <c r="DQ194" i="1"/>
  <c r="DT194" i="1"/>
  <c r="DW194" i="1"/>
  <c r="DZ194" i="1"/>
  <c r="EC194" i="1"/>
  <c r="EF194" i="1"/>
  <c r="EI194" i="1"/>
  <c r="EL194" i="1"/>
  <c r="EO194" i="1"/>
  <c r="ER194" i="1"/>
  <c r="DN195" i="1"/>
  <c r="DQ195" i="1"/>
  <c r="DT195" i="1"/>
  <c r="DW195" i="1"/>
  <c r="DZ195" i="1"/>
  <c r="EC195" i="1"/>
  <c r="EF195" i="1"/>
  <c r="EI195" i="1"/>
  <c r="EL195" i="1"/>
  <c r="EO195" i="1"/>
  <c r="ER195" i="1"/>
  <c r="DN196" i="1"/>
  <c r="DQ196" i="1"/>
  <c r="DT196" i="1"/>
  <c r="DW196" i="1"/>
  <c r="DZ196" i="1"/>
  <c r="EC196" i="1"/>
  <c r="EF196" i="1"/>
  <c r="EI196" i="1"/>
  <c r="EL196" i="1"/>
  <c r="EO196" i="1"/>
  <c r="ER196" i="1"/>
  <c r="DN197" i="1"/>
  <c r="DQ197" i="1"/>
  <c r="DT197" i="1"/>
  <c r="DW197" i="1"/>
  <c r="DZ197" i="1"/>
  <c r="EC197" i="1"/>
  <c r="EF197" i="1"/>
  <c r="EI197" i="1"/>
  <c r="EL197" i="1"/>
  <c r="EO197" i="1"/>
  <c r="ER197" i="1"/>
  <c r="DN198" i="1"/>
  <c r="DQ198" i="1"/>
  <c r="DT198" i="1"/>
  <c r="DW198" i="1"/>
  <c r="DZ198" i="1"/>
  <c r="EC198" i="1"/>
  <c r="EF198" i="1"/>
  <c r="EI198" i="1"/>
  <c r="EL198" i="1"/>
  <c r="EO198" i="1"/>
  <c r="ER198" i="1"/>
  <c r="DN199" i="1"/>
  <c r="DQ199" i="1"/>
  <c r="DT199" i="1"/>
  <c r="DW199" i="1"/>
  <c r="DZ199" i="1"/>
  <c r="EC199" i="1"/>
  <c r="EF199" i="1"/>
  <c r="EI199" i="1"/>
  <c r="EL199" i="1"/>
  <c r="EO199" i="1"/>
  <c r="ER199" i="1"/>
  <c r="DN200" i="1"/>
  <c r="DQ200" i="1"/>
  <c r="DT200" i="1"/>
  <c r="DW200" i="1"/>
  <c r="DZ200" i="1"/>
  <c r="EC200" i="1"/>
  <c r="EF200" i="1"/>
  <c r="EI200" i="1"/>
  <c r="EL200" i="1"/>
  <c r="EO200" i="1"/>
  <c r="ER200" i="1"/>
  <c r="DN201" i="1"/>
  <c r="DQ201" i="1"/>
  <c r="DT201" i="1"/>
  <c r="DW201" i="1"/>
  <c r="DZ201" i="1"/>
  <c r="EC201" i="1"/>
  <c r="EF201" i="1"/>
  <c r="EI201" i="1"/>
  <c r="EL201" i="1"/>
  <c r="EO201" i="1"/>
  <c r="ER201" i="1"/>
  <c r="DN202" i="1"/>
  <c r="DQ202" i="1"/>
  <c r="DT202" i="1"/>
  <c r="DW202" i="1"/>
  <c r="DZ202" i="1"/>
  <c r="EC202" i="1"/>
  <c r="EF202" i="1"/>
  <c r="EI202" i="1"/>
  <c r="EL202" i="1"/>
  <c r="EO202" i="1"/>
  <c r="ER202" i="1"/>
  <c r="DN203" i="1"/>
  <c r="DQ203" i="1"/>
  <c r="DT203" i="1"/>
  <c r="DW203" i="1"/>
  <c r="DZ203" i="1"/>
  <c r="EC203" i="1"/>
  <c r="EF203" i="1"/>
  <c r="EI203" i="1"/>
  <c r="EL203" i="1"/>
  <c r="EO203" i="1"/>
  <c r="ER203" i="1"/>
  <c r="DN204" i="1"/>
  <c r="DQ204" i="1"/>
  <c r="DT204" i="1"/>
  <c r="DW204" i="1"/>
  <c r="DZ204" i="1"/>
  <c r="EC204" i="1"/>
  <c r="EF204" i="1"/>
  <c r="EI204" i="1"/>
  <c r="EL204" i="1"/>
  <c r="EO204" i="1"/>
  <c r="ER204" i="1"/>
  <c r="DN205" i="1"/>
  <c r="DQ205" i="1"/>
  <c r="DT205" i="1"/>
  <c r="DW205" i="1"/>
  <c r="DZ205" i="1"/>
  <c r="EC205" i="1"/>
  <c r="EF205" i="1"/>
  <c r="EI205" i="1"/>
  <c r="EL205" i="1"/>
  <c r="EO205" i="1"/>
  <c r="ER205" i="1"/>
  <c r="DN206" i="1"/>
  <c r="DQ206" i="1"/>
  <c r="DT206" i="1"/>
  <c r="DW206" i="1"/>
  <c r="DZ206" i="1"/>
  <c r="EC206" i="1"/>
  <c r="EF206" i="1"/>
  <c r="EI206" i="1"/>
  <c r="EL206" i="1"/>
  <c r="EO206" i="1"/>
  <c r="ER206" i="1"/>
  <c r="DN207" i="1"/>
  <c r="DQ207" i="1"/>
  <c r="DT207" i="1"/>
  <c r="DW207" i="1"/>
  <c r="DZ207" i="1"/>
  <c r="EC207" i="1"/>
  <c r="EF207" i="1"/>
  <c r="EI207" i="1"/>
  <c r="EL207" i="1"/>
  <c r="EO207" i="1"/>
  <c r="ER207" i="1"/>
  <c r="DN208" i="1"/>
  <c r="DQ208" i="1"/>
  <c r="DT208" i="1"/>
  <c r="DW208" i="1"/>
  <c r="DZ208" i="1"/>
  <c r="EC208" i="1"/>
  <c r="EF208" i="1"/>
  <c r="EI208" i="1"/>
  <c r="EL208" i="1"/>
  <c r="EO208" i="1"/>
  <c r="ER208" i="1"/>
  <c r="DN209" i="1"/>
  <c r="DQ209" i="1"/>
  <c r="DT209" i="1"/>
  <c r="DW209" i="1"/>
  <c r="DZ209" i="1"/>
  <c r="EC209" i="1"/>
  <c r="EF209" i="1"/>
  <c r="EI209" i="1"/>
  <c r="EL209" i="1"/>
  <c r="EO209" i="1"/>
  <c r="ER209" i="1"/>
  <c r="DN210" i="1"/>
  <c r="DQ210" i="1"/>
  <c r="DT210" i="1"/>
  <c r="DW210" i="1"/>
  <c r="DZ210" i="1"/>
  <c r="EC210" i="1"/>
  <c r="EF210" i="1"/>
  <c r="EI210" i="1"/>
  <c r="EL210" i="1"/>
  <c r="EO210" i="1"/>
  <c r="ER210" i="1"/>
  <c r="DN211" i="1"/>
  <c r="DQ211" i="1"/>
  <c r="DT211" i="1"/>
  <c r="DW211" i="1"/>
  <c r="DZ211" i="1"/>
  <c r="EC211" i="1"/>
  <c r="EF211" i="1"/>
  <c r="EI211" i="1"/>
  <c r="EL211" i="1"/>
  <c r="EO211" i="1"/>
  <c r="ER211" i="1"/>
  <c r="DN212" i="1"/>
  <c r="DQ212" i="1"/>
  <c r="DT212" i="1"/>
  <c r="DW212" i="1"/>
  <c r="DZ212" i="1"/>
  <c r="EC212" i="1"/>
  <c r="EF212" i="1"/>
  <c r="EI212" i="1"/>
  <c r="EL212" i="1"/>
  <c r="EO212" i="1"/>
  <c r="ER212" i="1"/>
  <c r="DN213" i="1"/>
  <c r="DQ213" i="1"/>
  <c r="DT213" i="1"/>
  <c r="DW213" i="1"/>
  <c r="DZ213" i="1"/>
  <c r="EC213" i="1"/>
  <c r="EF213" i="1"/>
  <c r="EI213" i="1"/>
  <c r="EL213" i="1"/>
  <c r="EO213" i="1"/>
  <c r="ER213" i="1"/>
  <c r="DN214" i="1"/>
  <c r="DQ214" i="1"/>
  <c r="DT214" i="1"/>
  <c r="DW214" i="1"/>
  <c r="DZ214" i="1"/>
  <c r="EC214" i="1"/>
  <c r="EF214" i="1"/>
  <c r="EI214" i="1"/>
  <c r="EL214" i="1"/>
  <c r="EO214" i="1"/>
  <c r="ER214" i="1"/>
  <c r="DN215" i="1"/>
  <c r="DQ215" i="1"/>
  <c r="DT215" i="1"/>
  <c r="DW215" i="1"/>
  <c r="DZ215" i="1"/>
  <c r="EC215" i="1"/>
  <c r="EF215" i="1"/>
  <c r="EI215" i="1"/>
  <c r="EL215" i="1"/>
  <c r="EO215" i="1"/>
  <c r="ER215" i="1"/>
  <c r="DN216" i="1"/>
  <c r="DQ216" i="1"/>
  <c r="DT216" i="1"/>
  <c r="DW216" i="1"/>
  <c r="DZ216" i="1"/>
  <c r="EC216" i="1"/>
  <c r="EF216" i="1"/>
  <c r="EI216" i="1"/>
  <c r="EL216" i="1"/>
  <c r="EO216" i="1"/>
  <c r="ER216" i="1"/>
  <c r="DN217" i="1"/>
  <c r="DQ217" i="1"/>
  <c r="DT217" i="1"/>
  <c r="DW217" i="1"/>
  <c r="DZ217" i="1"/>
  <c r="EC217" i="1"/>
  <c r="EF217" i="1"/>
  <c r="EI217" i="1"/>
  <c r="EL217" i="1"/>
  <c r="EO217" i="1"/>
  <c r="ER217" i="1"/>
  <c r="DN218" i="1"/>
  <c r="DQ218" i="1"/>
  <c r="DT218" i="1"/>
  <c r="DW218" i="1"/>
  <c r="DZ218" i="1"/>
  <c r="EC218" i="1"/>
  <c r="EF218" i="1"/>
  <c r="EI218" i="1"/>
  <c r="EL218" i="1"/>
  <c r="EO218" i="1"/>
  <c r="ER218" i="1"/>
  <c r="DN219" i="1"/>
  <c r="DQ219" i="1"/>
  <c r="DT219" i="1"/>
  <c r="DW219" i="1"/>
  <c r="DZ219" i="1"/>
  <c r="EC219" i="1"/>
  <c r="EF219" i="1"/>
  <c r="EI219" i="1"/>
  <c r="EL219" i="1"/>
  <c r="EO219" i="1"/>
  <c r="ER219" i="1"/>
  <c r="DN220" i="1"/>
  <c r="DQ220" i="1"/>
  <c r="DT220" i="1"/>
  <c r="DW220" i="1"/>
  <c r="DZ220" i="1"/>
  <c r="EC220" i="1"/>
  <c r="EF220" i="1"/>
  <c r="EI220" i="1"/>
  <c r="EL220" i="1"/>
  <c r="EO220" i="1"/>
  <c r="ER220" i="1"/>
  <c r="DN221" i="1"/>
  <c r="DQ221" i="1"/>
  <c r="DT221" i="1"/>
  <c r="DW221" i="1"/>
  <c r="DZ221" i="1"/>
  <c r="EC221" i="1"/>
  <c r="EF221" i="1"/>
  <c r="EI221" i="1"/>
  <c r="EL221" i="1"/>
  <c r="EO221" i="1"/>
  <c r="ER221" i="1"/>
  <c r="DN222" i="1"/>
  <c r="DQ222" i="1"/>
  <c r="DT222" i="1"/>
  <c r="DW222" i="1"/>
  <c r="DZ222" i="1"/>
  <c r="EC222" i="1"/>
  <c r="EF222" i="1"/>
  <c r="EI222" i="1"/>
  <c r="EL222" i="1"/>
  <c r="EO222" i="1"/>
  <c r="ER222" i="1"/>
  <c r="DN223" i="1"/>
  <c r="DQ223" i="1"/>
  <c r="DT223" i="1"/>
  <c r="DW223" i="1"/>
  <c r="DZ223" i="1"/>
  <c r="EC223" i="1"/>
  <c r="EF223" i="1"/>
  <c r="EI223" i="1"/>
  <c r="EL223" i="1"/>
  <c r="EO223" i="1"/>
  <c r="ER223" i="1"/>
  <c r="DN224" i="1"/>
  <c r="DQ224" i="1"/>
  <c r="DT224" i="1"/>
  <c r="DW224" i="1"/>
  <c r="DZ224" i="1"/>
  <c r="EC224" i="1"/>
  <c r="EF224" i="1"/>
  <c r="EI224" i="1"/>
  <c r="EL224" i="1"/>
  <c r="EO224" i="1"/>
  <c r="ER224" i="1"/>
  <c r="DN225" i="1"/>
  <c r="DQ225" i="1"/>
  <c r="DT225" i="1"/>
  <c r="DW225" i="1"/>
  <c r="DZ225" i="1"/>
  <c r="EC225" i="1"/>
  <c r="EF225" i="1"/>
  <c r="EI225" i="1"/>
  <c r="EL225" i="1"/>
  <c r="EO225" i="1"/>
  <c r="ER225" i="1"/>
  <c r="DN226" i="1"/>
  <c r="DQ226" i="1"/>
  <c r="DT226" i="1"/>
  <c r="DW226" i="1"/>
  <c r="DZ226" i="1"/>
  <c r="EC226" i="1"/>
  <c r="EF226" i="1"/>
  <c r="EI226" i="1"/>
  <c r="EL226" i="1"/>
  <c r="EO226" i="1"/>
  <c r="ER226" i="1"/>
  <c r="DN227" i="1"/>
  <c r="DQ227" i="1"/>
  <c r="DT227" i="1"/>
  <c r="DW227" i="1"/>
  <c r="DZ227" i="1"/>
  <c r="EC227" i="1"/>
  <c r="EF227" i="1"/>
  <c r="EI227" i="1"/>
  <c r="EL227" i="1"/>
  <c r="EO227" i="1"/>
  <c r="ER227" i="1"/>
  <c r="DN228" i="1"/>
  <c r="DQ228" i="1"/>
  <c r="DT228" i="1"/>
  <c r="DW228" i="1"/>
  <c r="DZ228" i="1"/>
  <c r="EC228" i="1"/>
  <c r="EF228" i="1"/>
  <c r="EI228" i="1"/>
  <c r="EL228" i="1"/>
  <c r="EO228" i="1"/>
  <c r="ER228" i="1"/>
  <c r="DN229" i="1"/>
  <c r="DQ229" i="1"/>
  <c r="DT229" i="1"/>
  <c r="DW229" i="1"/>
  <c r="DZ229" i="1"/>
  <c r="EC229" i="1"/>
  <c r="EF229" i="1"/>
  <c r="EI229" i="1"/>
  <c r="EL229" i="1"/>
  <c r="EO229" i="1"/>
  <c r="ER229" i="1"/>
  <c r="DN230" i="1"/>
  <c r="DQ230" i="1"/>
  <c r="DT230" i="1"/>
  <c r="DW230" i="1"/>
  <c r="DZ230" i="1"/>
  <c r="EC230" i="1"/>
  <c r="EF230" i="1"/>
  <c r="EI230" i="1"/>
  <c r="EL230" i="1"/>
  <c r="EO230" i="1"/>
  <c r="ER230" i="1"/>
  <c r="DN231" i="1"/>
  <c r="DQ231" i="1"/>
  <c r="DT231" i="1"/>
  <c r="DW231" i="1"/>
  <c r="DZ231" i="1"/>
  <c r="EC231" i="1"/>
  <c r="EF231" i="1"/>
  <c r="EI231" i="1"/>
  <c r="EL231" i="1"/>
  <c r="EO231" i="1"/>
  <c r="ER231" i="1"/>
  <c r="DN232" i="1"/>
  <c r="DQ232" i="1"/>
  <c r="DT232" i="1"/>
  <c r="DW232" i="1"/>
  <c r="DZ232" i="1"/>
  <c r="EC232" i="1"/>
  <c r="EF232" i="1"/>
  <c r="EI232" i="1"/>
  <c r="EL232" i="1"/>
  <c r="EO232" i="1"/>
  <c r="ER232" i="1"/>
  <c r="DN233" i="1"/>
  <c r="DQ233" i="1"/>
  <c r="DT233" i="1"/>
  <c r="DW233" i="1"/>
  <c r="DZ233" i="1"/>
  <c r="EC233" i="1"/>
  <c r="EF233" i="1"/>
  <c r="EI233" i="1"/>
  <c r="EL233" i="1"/>
  <c r="EO233" i="1"/>
  <c r="ER233" i="1"/>
  <c r="DN234" i="1"/>
  <c r="DQ234" i="1"/>
  <c r="DT234" i="1"/>
  <c r="DW234" i="1"/>
  <c r="DZ234" i="1"/>
  <c r="EC234" i="1"/>
  <c r="EF234" i="1"/>
  <c r="EI234" i="1"/>
  <c r="EL234" i="1"/>
  <c r="EO234" i="1"/>
  <c r="ER234" i="1"/>
  <c r="DN235" i="1"/>
  <c r="DQ235" i="1"/>
  <c r="DT235" i="1"/>
  <c r="DW235" i="1"/>
  <c r="DZ235" i="1"/>
  <c r="EC235" i="1"/>
  <c r="EF235" i="1"/>
  <c r="EI235" i="1"/>
  <c r="EL235" i="1"/>
  <c r="EO235" i="1"/>
  <c r="ER235" i="1"/>
  <c r="DN236" i="1"/>
  <c r="DQ236" i="1"/>
  <c r="DT236" i="1"/>
  <c r="DW236" i="1"/>
  <c r="DZ236" i="1"/>
  <c r="EC236" i="1"/>
  <c r="EF236" i="1"/>
  <c r="EI236" i="1"/>
  <c r="EL236" i="1"/>
  <c r="EO236" i="1"/>
  <c r="ER236" i="1"/>
  <c r="DN237" i="1"/>
  <c r="DQ237" i="1"/>
  <c r="DT237" i="1"/>
  <c r="DW237" i="1"/>
  <c r="DZ237" i="1"/>
  <c r="EC237" i="1"/>
  <c r="EF237" i="1"/>
  <c r="EI237" i="1"/>
  <c r="EL237" i="1"/>
  <c r="EO237" i="1"/>
  <c r="ER237" i="1"/>
  <c r="DN238" i="1"/>
  <c r="DQ238" i="1"/>
  <c r="DT238" i="1"/>
  <c r="DW238" i="1"/>
  <c r="DZ238" i="1"/>
  <c r="EC238" i="1"/>
  <c r="EF238" i="1"/>
  <c r="EI238" i="1"/>
  <c r="EL238" i="1"/>
  <c r="EO238" i="1"/>
  <c r="ER238" i="1"/>
  <c r="DN239" i="1"/>
  <c r="DQ239" i="1"/>
  <c r="DT239" i="1"/>
  <c r="DW239" i="1"/>
  <c r="DZ239" i="1"/>
  <c r="EC239" i="1"/>
  <c r="EF239" i="1"/>
  <c r="EI239" i="1"/>
  <c r="EL239" i="1"/>
  <c r="EO239" i="1"/>
  <c r="ER239" i="1"/>
  <c r="DN240" i="1"/>
  <c r="DQ240" i="1"/>
  <c r="DT240" i="1"/>
  <c r="DW240" i="1"/>
  <c r="DZ240" i="1"/>
  <c r="EC240" i="1"/>
  <c r="EF240" i="1"/>
  <c r="EI240" i="1"/>
  <c r="EL240" i="1"/>
  <c r="EO240" i="1"/>
  <c r="ER240" i="1"/>
  <c r="DN241" i="1"/>
  <c r="DQ241" i="1"/>
  <c r="DT241" i="1"/>
  <c r="DW241" i="1"/>
  <c r="DZ241" i="1"/>
  <c r="EC241" i="1"/>
  <c r="EF241" i="1"/>
  <c r="EI241" i="1"/>
  <c r="EL241" i="1"/>
  <c r="EO241" i="1"/>
  <c r="ER241" i="1"/>
  <c r="DN242" i="1"/>
  <c r="DQ242" i="1"/>
  <c r="DT242" i="1"/>
  <c r="DW242" i="1"/>
  <c r="DZ242" i="1"/>
  <c r="EC242" i="1"/>
  <c r="EF242" i="1"/>
  <c r="EI242" i="1"/>
  <c r="EL242" i="1"/>
  <c r="EO242" i="1"/>
  <c r="ER242" i="1"/>
  <c r="DN243" i="1"/>
  <c r="DQ243" i="1"/>
  <c r="DT243" i="1"/>
  <c r="DW243" i="1"/>
  <c r="DZ243" i="1"/>
  <c r="EC243" i="1"/>
  <c r="EF243" i="1"/>
  <c r="EI243" i="1"/>
  <c r="EL243" i="1"/>
  <c r="EO243" i="1"/>
  <c r="ER243" i="1"/>
  <c r="DN244" i="1"/>
  <c r="DQ244" i="1"/>
  <c r="DT244" i="1"/>
  <c r="DW244" i="1"/>
  <c r="DZ244" i="1"/>
  <c r="EC244" i="1"/>
  <c r="EF244" i="1"/>
  <c r="EI244" i="1"/>
  <c r="EL244" i="1"/>
  <c r="EO244" i="1"/>
  <c r="ER244" i="1"/>
  <c r="DN245" i="1"/>
  <c r="DQ245" i="1"/>
  <c r="DT245" i="1"/>
  <c r="DW245" i="1"/>
  <c r="DZ245" i="1"/>
  <c r="EC245" i="1"/>
  <c r="EF245" i="1"/>
  <c r="EI245" i="1"/>
  <c r="EL245" i="1"/>
  <c r="EO245" i="1"/>
  <c r="ER245" i="1"/>
  <c r="DN246" i="1"/>
  <c r="DQ246" i="1"/>
  <c r="DT246" i="1"/>
  <c r="DW246" i="1"/>
  <c r="DZ246" i="1"/>
  <c r="EC246" i="1"/>
  <c r="EF246" i="1"/>
  <c r="EI246" i="1"/>
  <c r="EL246" i="1"/>
  <c r="EO246" i="1"/>
  <c r="ER246" i="1"/>
  <c r="DN247" i="1"/>
  <c r="DQ247" i="1"/>
  <c r="DT247" i="1"/>
  <c r="DW247" i="1"/>
  <c r="DZ247" i="1"/>
  <c r="EC247" i="1"/>
  <c r="EF247" i="1"/>
  <c r="EI247" i="1"/>
  <c r="EL247" i="1"/>
  <c r="EO247" i="1"/>
  <c r="ER247" i="1"/>
  <c r="DN248" i="1"/>
  <c r="DQ248" i="1"/>
  <c r="DT248" i="1"/>
  <c r="DW248" i="1"/>
  <c r="DZ248" i="1"/>
  <c r="EC248" i="1"/>
  <c r="EF248" i="1"/>
  <c r="EI248" i="1"/>
  <c r="EL248" i="1"/>
  <c r="EO248" i="1"/>
  <c r="ER248" i="1"/>
  <c r="DN249" i="1"/>
  <c r="DQ249" i="1"/>
  <c r="DT249" i="1"/>
  <c r="DW249" i="1"/>
  <c r="DZ249" i="1"/>
  <c r="EC249" i="1"/>
  <c r="EF249" i="1"/>
  <c r="EI249" i="1"/>
  <c r="EL249" i="1"/>
  <c r="EO249" i="1"/>
  <c r="ER249" i="1"/>
  <c r="DN250" i="1"/>
  <c r="DQ250" i="1"/>
  <c r="DT250" i="1"/>
  <c r="DW250" i="1"/>
  <c r="DZ250" i="1"/>
  <c r="EC250" i="1"/>
  <c r="EF250" i="1"/>
  <c r="EI250" i="1"/>
  <c r="EL250" i="1"/>
  <c r="EO250" i="1"/>
  <c r="ER250" i="1"/>
  <c r="DN251" i="1"/>
  <c r="DQ251" i="1"/>
  <c r="DT251" i="1"/>
  <c r="DW251" i="1"/>
  <c r="DZ251" i="1"/>
  <c r="EC251" i="1"/>
  <c r="EF251" i="1"/>
  <c r="EI251" i="1"/>
  <c r="EL251" i="1"/>
  <c r="EO251" i="1"/>
  <c r="ER251" i="1"/>
  <c r="DN252" i="1"/>
  <c r="DQ252" i="1"/>
  <c r="DT252" i="1"/>
  <c r="DW252" i="1"/>
  <c r="DZ252" i="1"/>
  <c r="EC252" i="1"/>
  <c r="EF252" i="1"/>
  <c r="EI252" i="1"/>
  <c r="EL252" i="1"/>
  <c r="EO252" i="1"/>
  <c r="ER252" i="1"/>
  <c r="DN253" i="1"/>
  <c r="DQ253" i="1"/>
  <c r="DT253" i="1"/>
  <c r="DW253" i="1"/>
  <c r="DZ253" i="1"/>
  <c r="EC253" i="1"/>
  <c r="EF253" i="1"/>
  <c r="EI253" i="1"/>
  <c r="EL253" i="1"/>
  <c r="EO253" i="1"/>
  <c r="ER253" i="1"/>
  <c r="DN254" i="1"/>
  <c r="DQ254" i="1"/>
  <c r="DT254" i="1"/>
  <c r="DW254" i="1"/>
  <c r="DZ254" i="1"/>
  <c r="EC254" i="1"/>
  <c r="EF254" i="1"/>
  <c r="EI254" i="1"/>
  <c r="EL254" i="1"/>
  <c r="EO254" i="1"/>
  <c r="ER254" i="1"/>
  <c r="DN255" i="1"/>
  <c r="DQ255" i="1"/>
  <c r="DT255" i="1"/>
  <c r="DW255" i="1"/>
  <c r="DZ255" i="1"/>
  <c r="EC255" i="1"/>
  <c r="EF255" i="1"/>
  <c r="EI255" i="1"/>
  <c r="EL255" i="1"/>
  <c r="EO255" i="1"/>
  <c r="ER255" i="1"/>
  <c r="DN256" i="1"/>
  <c r="DQ256" i="1"/>
  <c r="DT256" i="1"/>
  <c r="DW256" i="1"/>
  <c r="DZ256" i="1"/>
  <c r="EC256" i="1"/>
  <c r="EF256" i="1"/>
  <c r="EI256" i="1"/>
  <c r="EL256" i="1"/>
  <c r="EO256" i="1"/>
  <c r="ER256" i="1"/>
  <c r="DN257" i="1"/>
  <c r="DQ257" i="1"/>
  <c r="DT257" i="1"/>
  <c r="DW257" i="1"/>
  <c r="DZ257" i="1"/>
  <c r="EC257" i="1"/>
  <c r="EF257" i="1"/>
  <c r="EI257" i="1"/>
  <c r="EL257" i="1"/>
  <c r="EO257" i="1"/>
  <c r="ER257" i="1"/>
  <c r="DN258" i="1"/>
  <c r="DQ258" i="1"/>
  <c r="DT258" i="1"/>
  <c r="DW258" i="1"/>
  <c r="DZ258" i="1"/>
  <c r="EC258" i="1"/>
  <c r="EF258" i="1"/>
  <c r="EI258" i="1"/>
  <c r="EL258" i="1"/>
  <c r="EO258" i="1"/>
  <c r="ER258" i="1"/>
  <c r="DN259" i="1"/>
  <c r="DQ259" i="1"/>
  <c r="DT259" i="1"/>
  <c r="DW259" i="1"/>
  <c r="DZ259" i="1"/>
  <c r="EC259" i="1"/>
  <c r="EF259" i="1"/>
  <c r="EI259" i="1"/>
  <c r="EL259" i="1"/>
  <c r="EO259" i="1"/>
  <c r="ER259" i="1"/>
  <c r="DN260" i="1"/>
  <c r="DQ260" i="1"/>
  <c r="DT260" i="1"/>
  <c r="DW260" i="1"/>
  <c r="DZ260" i="1"/>
  <c r="EC260" i="1"/>
  <c r="EF260" i="1"/>
  <c r="EI260" i="1"/>
  <c r="EL260" i="1"/>
  <c r="EO260" i="1"/>
  <c r="ER260" i="1"/>
  <c r="DN261" i="1"/>
  <c r="DQ261" i="1"/>
  <c r="DT261" i="1"/>
  <c r="DW261" i="1"/>
  <c r="DZ261" i="1"/>
  <c r="EC261" i="1"/>
  <c r="EF261" i="1"/>
  <c r="EI261" i="1"/>
  <c r="EL261" i="1"/>
  <c r="EO261" i="1"/>
  <c r="ER261" i="1"/>
  <c r="DN262" i="1"/>
  <c r="DQ262" i="1"/>
  <c r="DT262" i="1"/>
  <c r="DW262" i="1"/>
  <c r="DZ262" i="1"/>
  <c r="EC262" i="1"/>
  <c r="EF262" i="1"/>
  <c r="EI262" i="1"/>
  <c r="EL262" i="1"/>
  <c r="EO262" i="1"/>
  <c r="ER262" i="1"/>
  <c r="DN263" i="1"/>
  <c r="DQ263" i="1"/>
  <c r="DT263" i="1"/>
  <c r="DW263" i="1"/>
  <c r="DZ263" i="1"/>
  <c r="EC263" i="1"/>
  <c r="EF263" i="1"/>
  <c r="EI263" i="1"/>
  <c r="EL263" i="1"/>
  <c r="EO263" i="1"/>
  <c r="ER263" i="1"/>
  <c r="DN264" i="1"/>
  <c r="DQ264" i="1"/>
  <c r="DT264" i="1"/>
  <c r="DW264" i="1"/>
  <c r="DZ264" i="1"/>
  <c r="EC264" i="1"/>
  <c r="EF264" i="1"/>
  <c r="EI264" i="1"/>
  <c r="EL264" i="1"/>
  <c r="EO264" i="1"/>
  <c r="ER264" i="1"/>
  <c r="DN265" i="1"/>
  <c r="DQ265" i="1"/>
  <c r="DT265" i="1"/>
  <c r="DW265" i="1"/>
  <c r="DZ265" i="1"/>
  <c r="EC265" i="1"/>
  <c r="EF265" i="1"/>
  <c r="EI265" i="1"/>
  <c r="EL265" i="1"/>
  <c r="EO265" i="1"/>
  <c r="ER265" i="1"/>
  <c r="DN266" i="1"/>
  <c r="DQ266" i="1"/>
  <c r="DT266" i="1"/>
  <c r="DW266" i="1"/>
  <c r="DZ266" i="1"/>
  <c r="EC266" i="1"/>
  <c r="EF266" i="1"/>
  <c r="EI266" i="1"/>
  <c r="EL266" i="1"/>
  <c r="EO266" i="1"/>
  <c r="ER266" i="1"/>
  <c r="DN267" i="1"/>
  <c r="DQ267" i="1"/>
  <c r="DT267" i="1"/>
  <c r="DW267" i="1"/>
  <c r="DZ267" i="1"/>
  <c r="EC267" i="1"/>
  <c r="EF267" i="1"/>
  <c r="EI267" i="1"/>
  <c r="EL267" i="1"/>
  <c r="EO267" i="1"/>
  <c r="ER267" i="1"/>
  <c r="DN268" i="1"/>
  <c r="DQ268" i="1"/>
  <c r="DT268" i="1"/>
  <c r="DW268" i="1"/>
  <c r="DZ268" i="1"/>
  <c r="EC268" i="1"/>
  <c r="EF268" i="1"/>
  <c r="EI268" i="1"/>
  <c r="EL268" i="1"/>
  <c r="EO268" i="1"/>
  <c r="ER268" i="1"/>
  <c r="DN269" i="1"/>
  <c r="DQ269" i="1"/>
  <c r="DT269" i="1"/>
  <c r="DW269" i="1"/>
  <c r="DZ269" i="1"/>
  <c r="EC269" i="1"/>
  <c r="EF269" i="1"/>
  <c r="EI269" i="1"/>
  <c r="EL269" i="1"/>
  <c r="EO269" i="1"/>
  <c r="ER269" i="1"/>
  <c r="DN270" i="1"/>
  <c r="DQ270" i="1"/>
  <c r="DT270" i="1"/>
  <c r="DW270" i="1"/>
  <c r="DZ270" i="1"/>
  <c r="EC270" i="1"/>
  <c r="EF270" i="1"/>
  <c r="EI270" i="1"/>
  <c r="EL270" i="1"/>
  <c r="EO270" i="1"/>
  <c r="ER270" i="1"/>
  <c r="DN271" i="1"/>
  <c r="DQ271" i="1"/>
  <c r="DT271" i="1"/>
  <c r="DW271" i="1"/>
  <c r="DZ271" i="1"/>
  <c r="EC271" i="1"/>
  <c r="EF271" i="1"/>
  <c r="EI271" i="1"/>
  <c r="EL271" i="1"/>
  <c r="EO271" i="1"/>
  <c r="ER271" i="1"/>
  <c r="DN272" i="1"/>
  <c r="DQ272" i="1"/>
  <c r="DT272" i="1"/>
  <c r="DW272" i="1"/>
  <c r="DZ272" i="1"/>
  <c r="EC272" i="1"/>
  <c r="EF272" i="1"/>
  <c r="EI272" i="1"/>
  <c r="EL272" i="1"/>
  <c r="EO272" i="1"/>
  <c r="ER272" i="1"/>
  <c r="CT4" i="1"/>
  <c r="DL4" i="1" s="1"/>
  <c r="CU4" i="1"/>
  <c r="CT5" i="1"/>
  <c r="CW5" i="1" s="1"/>
  <c r="CU5" i="1"/>
  <c r="CT6" i="1"/>
  <c r="CW6" i="1" s="1"/>
  <c r="CU6" i="1"/>
  <c r="CT7" i="1"/>
  <c r="CU7" i="1"/>
  <c r="CT8" i="1"/>
  <c r="DU8" i="1" s="1"/>
  <c r="CU8" i="1"/>
  <c r="CT9" i="1"/>
  <c r="DO9" i="1" s="1"/>
  <c r="CU9" i="1"/>
  <c r="CT10" i="1"/>
  <c r="DO10" i="1" s="1"/>
  <c r="CU10" i="1"/>
  <c r="CT11" i="1"/>
  <c r="DL11" i="1" s="1"/>
  <c r="CU11" i="1"/>
  <c r="CT12" i="1"/>
  <c r="DL12" i="1" s="1"/>
  <c r="CU12" i="1"/>
  <c r="CT13" i="1"/>
  <c r="DI13" i="1" s="1"/>
  <c r="CU13" i="1"/>
  <c r="CT14" i="1"/>
  <c r="DI14" i="1" s="1"/>
  <c r="CU14" i="1"/>
  <c r="CT15" i="1"/>
  <c r="DF15" i="1" s="1"/>
  <c r="CU15" i="1"/>
  <c r="CT16" i="1"/>
  <c r="DF16" i="1" s="1"/>
  <c r="CU16" i="1"/>
  <c r="CT17" i="1"/>
  <c r="DC17" i="1" s="1"/>
  <c r="CU17" i="1"/>
  <c r="CT18" i="1"/>
  <c r="DC18" i="1" s="1"/>
  <c r="CU18" i="1"/>
  <c r="CT19" i="1"/>
  <c r="DU19" i="1" s="1"/>
  <c r="CU19" i="1"/>
  <c r="CT20" i="1"/>
  <c r="DU20" i="1" s="1"/>
  <c r="CU20" i="1"/>
  <c r="CT21" i="1"/>
  <c r="CW21" i="1" s="1"/>
  <c r="CU21" i="1"/>
  <c r="CT22" i="1"/>
  <c r="CW22" i="1" s="1"/>
  <c r="CU22" i="1"/>
  <c r="CT23" i="1"/>
  <c r="CU23" i="1"/>
  <c r="CT24" i="1"/>
  <c r="DX24" i="1" s="1"/>
  <c r="CU24" i="1"/>
  <c r="CT25" i="1"/>
  <c r="DC25" i="1" s="1"/>
  <c r="CU25" i="1"/>
  <c r="CT26" i="1"/>
  <c r="DC26" i="1" s="1"/>
  <c r="CU26" i="1"/>
  <c r="CT27" i="1"/>
  <c r="CU27" i="1"/>
  <c r="CT28" i="1"/>
  <c r="CU28" i="1"/>
  <c r="CT29" i="1"/>
  <c r="CW29" i="1" s="1"/>
  <c r="CU29" i="1"/>
  <c r="CT30" i="1"/>
  <c r="CW30" i="1" s="1"/>
  <c r="CU30" i="1"/>
  <c r="CT31" i="1"/>
  <c r="CU31" i="1"/>
  <c r="CT32" i="1"/>
  <c r="DF32" i="1" s="1"/>
  <c r="CU32" i="1"/>
  <c r="CT33" i="1"/>
  <c r="DX33" i="1" s="1"/>
  <c r="CU33" i="1"/>
  <c r="CT34" i="1"/>
  <c r="CW34" i="1" s="1"/>
  <c r="CU34" i="1"/>
  <c r="CT35" i="1"/>
  <c r="CU35" i="1"/>
  <c r="CT36" i="1"/>
  <c r="EA36" i="1" s="1"/>
  <c r="CU36" i="1"/>
  <c r="CT37" i="1"/>
  <c r="CW37" i="1" s="1"/>
  <c r="CU37" i="1"/>
  <c r="CT38" i="1"/>
  <c r="CW38" i="1" s="1"/>
  <c r="CU38" i="1"/>
  <c r="CT39" i="1"/>
  <c r="CU39" i="1"/>
  <c r="CT40" i="1"/>
  <c r="DU40" i="1" s="1"/>
  <c r="CU40" i="1"/>
  <c r="CT41" i="1"/>
  <c r="DO41" i="1" s="1"/>
  <c r="CU41" i="1"/>
  <c r="CT42" i="1"/>
  <c r="DU42" i="1" s="1"/>
  <c r="CU42" i="1"/>
  <c r="CT43" i="1"/>
  <c r="DL43" i="1" s="1"/>
  <c r="CU43" i="1"/>
  <c r="CT44" i="1"/>
  <c r="DL44" i="1" s="1"/>
  <c r="CU44" i="1"/>
  <c r="CT45" i="1"/>
  <c r="DI45" i="1" s="1"/>
  <c r="CU45" i="1"/>
  <c r="CT46" i="1"/>
  <c r="DI46" i="1" s="1"/>
  <c r="CU46" i="1"/>
  <c r="CT47" i="1"/>
  <c r="EA47" i="1" s="1"/>
  <c r="CU47" i="1"/>
  <c r="CT48" i="1"/>
  <c r="CW48" i="1" s="1"/>
  <c r="CU48" i="1"/>
  <c r="CT49" i="1"/>
  <c r="ES49" i="1" s="1"/>
  <c r="CU49" i="1"/>
  <c r="CT50" i="1"/>
  <c r="ES50" i="1" s="1"/>
  <c r="CU50" i="1"/>
  <c r="CX50" i="1" s="1"/>
  <c r="CT51" i="1"/>
  <c r="CU51" i="1"/>
  <c r="CT52" i="1"/>
  <c r="DU52" i="1" s="1"/>
  <c r="CU52" i="1"/>
  <c r="CT53" i="1"/>
  <c r="CW53" i="1" s="1"/>
  <c r="CU53" i="1"/>
  <c r="CT54" i="1"/>
  <c r="CW54" i="1" s="1"/>
  <c r="CU54" i="1"/>
  <c r="CT55" i="1"/>
  <c r="CU55" i="1"/>
  <c r="CT56" i="1"/>
  <c r="DF56" i="1" s="1"/>
  <c r="CU56" i="1"/>
  <c r="CT57" i="1"/>
  <c r="DC57" i="1" s="1"/>
  <c r="CU57" i="1"/>
  <c r="CT58" i="1"/>
  <c r="DC58" i="1" s="1"/>
  <c r="CU58" i="1"/>
  <c r="CT59" i="1"/>
  <c r="CU59" i="1"/>
  <c r="CT60" i="1"/>
  <c r="DL60" i="1" s="1"/>
  <c r="CU60" i="1"/>
  <c r="CT61" i="1"/>
  <c r="CW61" i="1" s="1"/>
  <c r="CU61" i="1"/>
  <c r="CT62" i="1"/>
  <c r="CW62" i="1" s="1"/>
  <c r="CU62" i="1"/>
  <c r="CT63" i="1"/>
  <c r="CU63" i="1"/>
  <c r="CT64" i="1"/>
  <c r="CW64" i="1" s="1"/>
  <c r="CU64" i="1"/>
  <c r="CT65" i="1"/>
  <c r="DX65" i="1" s="1"/>
  <c r="CU65" i="1"/>
  <c r="CT66" i="1"/>
  <c r="DX66" i="1" s="1"/>
  <c r="CU66" i="1"/>
  <c r="CT67" i="1"/>
  <c r="CU67" i="1"/>
  <c r="CT68" i="1"/>
  <c r="CU68" i="1"/>
  <c r="CT69" i="1"/>
  <c r="DR69" i="1" s="1"/>
  <c r="CU69" i="1"/>
  <c r="CT70" i="1"/>
  <c r="EA70" i="1" s="1"/>
  <c r="CU70" i="1"/>
  <c r="CT71" i="1"/>
  <c r="CU71" i="1"/>
  <c r="CT72" i="1"/>
  <c r="DF72" i="1" s="1"/>
  <c r="CU72" i="1"/>
  <c r="CT73" i="1"/>
  <c r="DO73" i="1" s="1"/>
  <c r="CU73" i="1"/>
  <c r="CT74" i="1"/>
  <c r="DO74" i="1" s="1"/>
  <c r="CU74" i="1"/>
  <c r="CT75" i="1"/>
  <c r="EG75" i="1" s="1"/>
  <c r="CU75" i="1"/>
  <c r="CT76" i="1"/>
  <c r="DX76" i="1" s="1"/>
  <c r="CU76" i="1"/>
  <c r="CT77" i="1"/>
  <c r="DI77" i="1" s="1"/>
  <c r="CU77" i="1"/>
  <c r="CT78" i="1"/>
  <c r="DI78" i="1" s="1"/>
  <c r="CU78" i="1"/>
  <c r="CT79" i="1"/>
  <c r="DF79" i="1" s="1"/>
  <c r="CU79" i="1"/>
  <c r="CT80" i="1"/>
  <c r="EA80" i="1" s="1"/>
  <c r="CU80" i="1"/>
  <c r="CT81" i="1"/>
  <c r="DC81" i="1" s="1"/>
  <c r="CU81" i="1"/>
  <c r="CT82" i="1"/>
  <c r="DC82" i="1" s="1"/>
  <c r="CU82" i="1"/>
  <c r="CT83" i="1"/>
  <c r="CU83" i="1"/>
  <c r="CT84" i="1"/>
  <c r="DL84" i="1" s="1"/>
  <c r="CU84" i="1"/>
  <c r="CT85" i="1"/>
  <c r="CW85" i="1" s="1"/>
  <c r="CU85" i="1"/>
  <c r="CT86" i="1"/>
  <c r="CW86" i="1" s="1"/>
  <c r="CU86" i="1"/>
  <c r="CT87" i="1"/>
  <c r="CU87" i="1"/>
  <c r="CT88" i="1"/>
  <c r="CW88" i="1" s="1"/>
  <c r="CU88" i="1"/>
  <c r="CT89" i="1"/>
  <c r="DC89" i="1" s="1"/>
  <c r="CU89" i="1"/>
  <c r="CT90" i="1"/>
  <c r="DC90" i="1" s="1"/>
  <c r="CU90" i="1"/>
  <c r="CT91" i="1"/>
  <c r="CU91" i="1"/>
  <c r="CT92" i="1"/>
  <c r="DR92" i="1" s="1"/>
  <c r="CU92" i="1"/>
  <c r="CT93" i="1"/>
  <c r="CW93" i="1" s="1"/>
  <c r="CU93" i="1"/>
  <c r="CT94" i="1"/>
  <c r="CW94" i="1" s="1"/>
  <c r="CU94" i="1"/>
  <c r="DD94" i="1" s="1"/>
  <c r="CT95" i="1"/>
  <c r="CU95" i="1"/>
  <c r="DD95" i="1" s="1"/>
  <c r="CT96" i="1"/>
  <c r="CW96" i="1" s="1"/>
  <c r="CU96" i="1"/>
  <c r="CT97" i="1"/>
  <c r="DX97" i="1" s="1"/>
  <c r="CU97" i="1"/>
  <c r="CT98" i="1"/>
  <c r="DX98" i="1" s="1"/>
  <c r="CU98" i="1"/>
  <c r="CT99" i="1"/>
  <c r="CU99" i="1"/>
  <c r="CT100" i="1"/>
  <c r="DL100" i="1" s="1"/>
  <c r="CU100" i="1"/>
  <c r="CT101" i="1"/>
  <c r="CW101" i="1" s="1"/>
  <c r="CU101" i="1"/>
  <c r="CT102" i="1"/>
  <c r="CW102" i="1" s="1"/>
  <c r="CU102" i="1"/>
  <c r="CT103" i="1"/>
  <c r="CU103" i="1"/>
  <c r="CT104" i="1"/>
  <c r="CU104" i="1"/>
  <c r="CT105" i="1"/>
  <c r="DO105" i="1" s="1"/>
  <c r="CU105" i="1"/>
  <c r="CT106" i="1"/>
  <c r="DO106" i="1" s="1"/>
  <c r="CU106" i="1"/>
  <c r="CT107" i="1"/>
  <c r="DL107" i="1" s="1"/>
  <c r="CU107" i="1"/>
  <c r="CT108" i="1"/>
  <c r="DX108" i="1" s="1"/>
  <c r="CU108" i="1"/>
  <c r="CT109" i="1"/>
  <c r="DI109" i="1" s="1"/>
  <c r="CU109" i="1"/>
  <c r="CT110" i="1"/>
  <c r="DI110" i="1" s="1"/>
  <c r="CU110" i="1"/>
  <c r="CT111" i="1"/>
  <c r="DF111" i="1" s="1"/>
  <c r="CU111" i="1"/>
  <c r="CT112" i="1"/>
  <c r="EA112" i="1" s="1"/>
  <c r="CU112" i="1"/>
  <c r="CT113" i="1"/>
  <c r="DC113" i="1" s="1"/>
  <c r="CU113" i="1"/>
  <c r="CT114" i="1"/>
  <c r="DC114" i="1" s="1"/>
  <c r="CU114" i="1"/>
  <c r="CT115" i="1"/>
  <c r="CU115" i="1"/>
  <c r="CT116" i="1"/>
  <c r="CU116" i="1"/>
  <c r="CT117" i="1"/>
  <c r="CW117" i="1" s="1"/>
  <c r="CU117" i="1"/>
  <c r="CT118" i="1"/>
  <c r="CW118" i="1" s="1"/>
  <c r="CU118" i="1"/>
  <c r="CT119" i="1"/>
  <c r="CU119" i="1"/>
  <c r="CT120" i="1"/>
  <c r="DX120" i="1" s="1"/>
  <c r="CU120" i="1"/>
  <c r="CT121" i="1"/>
  <c r="EA121" i="1" s="1"/>
  <c r="CU121" i="1"/>
  <c r="CT122" i="1"/>
  <c r="EP122" i="1" s="1"/>
  <c r="CU122" i="1"/>
  <c r="CT123" i="1"/>
  <c r="CU123" i="1"/>
  <c r="CT124" i="1"/>
  <c r="DR124" i="1" s="1"/>
  <c r="CU124" i="1"/>
  <c r="CT125" i="1"/>
  <c r="ED125" i="1" s="1"/>
  <c r="CU125" i="1"/>
  <c r="CT126" i="1"/>
  <c r="DU126" i="1" s="1"/>
  <c r="CU126" i="1"/>
  <c r="CT127" i="1"/>
  <c r="CU127" i="1"/>
  <c r="CT128" i="1"/>
  <c r="DF128" i="1" s="1"/>
  <c r="CU128" i="1"/>
  <c r="CT129" i="1"/>
  <c r="DC129" i="1" s="1"/>
  <c r="CU129" i="1"/>
  <c r="CT130" i="1"/>
  <c r="CW130" i="1" s="1"/>
  <c r="CU130" i="1"/>
  <c r="CT131" i="1"/>
  <c r="CU131" i="1"/>
  <c r="CT132" i="1"/>
  <c r="EA132" i="1" s="1"/>
  <c r="CU132" i="1"/>
  <c r="CT133" i="1"/>
  <c r="CW133" i="1" s="1"/>
  <c r="CU133" i="1"/>
  <c r="CT134" i="1"/>
  <c r="CW134" i="1" s="1"/>
  <c r="CU134" i="1"/>
  <c r="CT135" i="1"/>
  <c r="CU135" i="1"/>
  <c r="CT136" i="1"/>
  <c r="DU136" i="1" s="1"/>
  <c r="CU136" i="1"/>
  <c r="CT137" i="1"/>
  <c r="DO137" i="1" s="1"/>
  <c r="CU137" i="1"/>
  <c r="CT138" i="1"/>
  <c r="DO138" i="1" s="1"/>
  <c r="CU138" i="1"/>
  <c r="CT139" i="1"/>
  <c r="DL139" i="1" s="1"/>
  <c r="CU139" i="1"/>
  <c r="CT140" i="1"/>
  <c r="DL140" i="1" s="1"/>
  <c r="CU140" i="1"/>
  <c r="CT141" i="1"/>
  <c r="DI141" i="1" s="1"/>
  <c r="CU141" i="1"/>
  <c r="CT142" i="1"/>
  <c r="DI142" i="1" s="1"/>
  <c r="CU142" i="1"/>
  <c r="CT143" i="1"/>
  <c r="DF143" i="1" s="1"/>
  <c r="CU143" i="1"/>
  <c r="CT144" i="1"/>
  <c r="DF144" i="1" s="1"/>
  <c r="CU144" i="1"/>
  <c r="CT145" i="1"/>
  <c r="EM145" i="1" s="1"/>
  <c r="CU145" i="1"/>
  <c r="CT146" i="1"/>
  <c r="EM146" i="1" s="1"/>
  <c r="CU146" i="1"/>
  <c r="CT147" i="1"/>
  <c r="DU147" i="1" s="1"/>
  <c r="CU147" i="1"/>
  <c r="CT148" i="1"/>
  <c r="DU148" i="1" s="1"/>
  <c r="CU148" i="1"/>
  <c r="CX148" i="1" s="1"/>
  <c r="CT149" i="1"/>
  <c r="CW149" i="1" s="1"/>
  <c r="CU149" i="1"/>
  <c r="CT150" i="1"/>
  <c r="CW150" i="1" s="1"/>
  <c r="CU150" i="1"/>
  <c r="CX150" i="1" s="1"/>
  <c r="CT151" i="1"/>
  <c r="CU151" i="1"/>
  <c r="CT152" i="1"/>
  <c r="DX152" i="1" s="1"/>
  <c r="CU152" i="1"/>
  <c r="CT153" i="1"/>
  <c r="EJ153" i="1" s="1"/>
  <c r="CU153" i="1"/>
  <c r="CT154" i="1"/>
  <c r="EA154" i="1" s="1"/>
  <c r="CU154" i="1"/>
  <c r="CT155" i="1"/>
  <c r="CU155" i="1"/>
  <c r="CT156" i="1"/>
  <c r="ED156" i="1" s="1"/>
  <c r="CU156" i="1"/>
  <c r="CT157" i="1"/>
  <c r="CW157" i="1" s="1"/>
  <c r="CU157" i="1"/>
  <c r="CT158" i="1"/>
  <c r="CW158" i="1" s="1"/>
  <c r="CU158" i="1"/>
  <c r="CT159" i="1"/>
  <c r="CU159" i="1"/>
  <c r="CT160" i="1"/>
  <c r="CU160" i="1"/>
  <c r="CT161" i="1"/>
  <c r="DX161" i="1" s="1"/>
  <c r="CU161" i="1"/>
  <c r="CT162" i="1"/>
  <c r="CW162" i="1" s="1"/>
  <c r="CU162" i="1"/>
  <c r="CT163" i="1"/>
  <c r="CU163" i="1"/>
  <c r="CT164" i="1"/>
  <c r="CW164" i="1" s="1"/>
  <c r="CU164" i="1"/>
  <c r="DA164" i="1" s="1"/>
  <c r="CT165" i="1"/>
  <c r="CW165" i="1" s="1"/>
  <c r="CU165" i="1"/>
  <c r="CT166" i="1"/>
  <c r="CW166" i="1" s="1"/>
  <c r="CU166" i="1"/>
  <c r="CT167" i="1"/>
  <c r="CU167" i="1"/>
  <c r="CT168" i="1"/>
  <c r="DF168" i="1" s="1"/>
  <c r="CU168" i="1"/>
  <c r="CT169" i="1"/>
  <c r="DO169" i="1" s="1"/>
  <c r="CU169" i="1"/>
  <c r="CT170" i="1"/>
  <c r="DU170" i="1" s="1"/>
  <c r="CU170" i="1"/>
  <c r="CT171" i="1"/>
  <c r="DL171" i="1" s="1"/>
  <c r="CU171" i="1"/>
  <c r="CT172" i="1"/>
  <c r="DL172" i="1" s="1"/>
  <c r="CU172" i="1"/>
  <c r="CT173" i="1"/>
  <c r="DI173" i="1" s="1"/>
  <c r="CU173" i="1"/>
  <c r="CT174" i="1"/>
  <c r="DI174" i="1" s="1"/>
  <c r="CU174" i="1"/>
  <c r="CT175" i="1"/>
  <c r="DR175" i="1" s="1"/>
  <c r="CU175" i="1"/>
  <c r="CT176" i="1"/>
  <c r="CW176" i="1" s="1"/>
  <c r="CU176" i="1"/>
  <c r="CT177" i="1"/>
  <c r="DC177" i="1" s="1"/>
  <c r="CU177" i="1"/>
  <c r="CT178" i="1"/>
  <c r="DC178" i="1" s="1"/>
  <c r="CU178" i="1"/>
  <c r="CT179" i="1"/>
  <c r="CU179" i="1"/>
  <c r="CT180" i="1"/>
  <c r="ED180" i="1" s="1"/>
  <c r="CU180" i="1"/>
  <c r="CT181" i="1"/>
  <c r="CW181" i="1" s="1"/>
  <c r="CU181" i="1"/>
  <c r="CT182" i="1"/>
  <c r="CW182" i="1" s="1"/>
  <c r="CU182" i="1"/>
  <c r="CT183" i="1"/>
  <c r="CU183" i="1"/>
  <c r="CT184" i="1"/>
  <c r="CU184" i="1"/>
  <c r="CT185" i="1"/>
  <c r="EJ185" i="1" s="1"/>
  <c r="CU185" i="1"/>
  <c r="CT186" i="1"/>
  <c r="DC186" i="1" s="1"/>
  <c r="CU186" i="1"/>
  <c r="CT187" i="1"/>
  <c r="CU187" i="1"/>
  <c r="CT188" i="1"/>
  <c r="DL188" i="1" s="1"/>
  <c r="CU188" i="1"/>
  <c r="CT189" i="1"/>
  <c r="CW189" i="1" s="1"/>
  <c r="CU189" i="1"/>
  <c r="CT190" i="1"/>
  <c r="CW190" i="1" s="1"/>
  <c r="CU190" i="1"/>
  <c r="DG190" i="1" s="1"/>
  <c r="CT191" i="1"/>
  <c r="CU191" i="1"/>
  <c r="CT192" i="1"/>
  <c r="DF192" i="1" s="1"/>
  <c r="CU192" i="1"/>
  <c r="DG192" i="1" s="1"/>
  <c r="CT193" i="1"/>
  <c r="DX193" i="1" s="1"/>
  <c r="CU193" i="1"/>
  <c r="CT194" i="1"/>
  <c r="DX194" i="1" s="1"/>
  <c r="CU194" i="1"/>
  <c r="CT195" i="1"/>
  <c r="CU195" i="1"/>
  <c r="CT196" i="1"/>
  <c r="CW196" i="1" s="1"/>
  <c r="CU196" i="1"/>
  <c r="CT197" i="1"/>
  <c r="DR197" i="1" s="1"/>
  <c r="CU197" i="1"/>
  <c r="CT198" i="1"/>
  <c r="EA198" i="1" s="1"/>
  <c r="CU198" i="1"/>
  <c r="CT199" i="1"/>
  <c r="CU199" i="1"/>
  <c r="CT200" i="1"/>
  <c r="DF200" i="1" s="1"/>
  <c r="CU200" i="1"/>
  <c r="CT201" i="1"/>
  <c r="DO201" i="1" s="1"/>
  <c r="CU201" i="1"/>
  <c r="CT202" i="1"/>
  <c r="DO202" i="1" s="1"/>
  <c r="CU202" i="1"/>
  <c r="CT203" i="1"/>
  <c r="EG203" i="1" s="1"/>
  <c r="CU203" i="1"/>
  <c r="CT204" i="1"/>
  <c r="DL204" i="1" s="1"/>
  <c r="CU204" i="1"/>
  <c r="CT205" i="1"/>
  <c r="DI205" i="1" s="1"/>
  <c r="CU205" i="1"/>
  <c r="CT206" i="1"/>
  <c r="DI206" i="1" s="1"/>
  <c r="CU206" i="1"/>
  <c r="CT207" i="1"/>
  <c r="DF207" i="1" s="1"/>
  <c r="CU207" i="1"/>
  <c r="CT208" i="1"/>
  <c r="EA208" i="1" s="1"/>
  <c r="CU208" i="1"/>
  <c r="CT209" i="1"/>
  <c r="DC209" i="1" s="1"/>
  <c r="CU209" i="1"/>
  <c r="CT210" i="1"/>
  <c r="DC210" i="1" s="1"/>
  <c r="CU210" i="1"/>
  <c r="CT211" i="1"/>
  <c r="CU211" i="1"/>
  <c r="CT212" i="1"/>
  <c r="CU212" i="1"/>
  <c r="CT213" i="1"/>
  <c r="ED213" i="1" s="1"/>
  <c r="CU213" i="1"/>
  <c r="CT214" i="1"/>
  <c r="CW214" i="1" s="1"/>
  <c r="CU214" i="1"/>
  <c r="CT215" i="1"/>
  <c r="CU215" i="1"/>
  <c r="CT216" i="1"/>
  <c r="EJ216" i="1" s="1"/>
  <c r="CU216" i="1"/>
  <c r="CT217" i="1"/>
  <c r="DC217" i="1" s="1"/>
  <c r="CU217" i="1"/>
  <c r="CT218" i="1"/>
  <c r="DC218" i="1" s="1"/>
  <c r="CU218" i="1"/>
  <c r="CT219" i="1"/>
  <c r="ES219" i="1" s="1"/>
  <c r="CU219" i="1"/>
  <c r="CT220" i="1"/>
  <c r="ES220" i="1" s="1"/>
  <c r="CU220" i="1"/>
  <c r="CT221" i="1"/>
  <c r="CW221" i="1" s="1"/>
  <c r="CU221" i="1"/>
  <c r="CT222" i="1"/>
  <c r="CW222" i="1" s="1"/>
  <c r="CU222" i="1"/>
  <c r="CT223" i="1"/>
  <c r="CU223" i="1"/>
  <c r="CT224" i="1"/>
  <c r="DF224" i="1" s="1"/>
  <c r="CU224" i="1"/>
  <c r="CT225" i="1"/>
  <c r="DX225" i="1" s="1"/>
  <c r="CU225" i="1"/>
  <c r="CT226" i="1"/>
  <c r="DX226" i="1" s="1"/>
  <c r="CU226" i="1"/>
  <c r="CT227" i="1"/>
  <c r="CU227" i="1"/>
  <c r="CT228" i="1"/>
  <c r="DL228" i="1" s="1"/>
  <c r="CU228" i="1"/>
  <c r="CT229" i="1"/>
  <c r="CW229" i="1" s="1"/>
  <c r="CU229" i="1"/>
  <c r="CT230" i="1"/>
  <c r="CW230" i="1" s="1"/>
  <c r="CU230" i="1"/>
  <c r="CT231" i="1"/>
  <c r="EM231" i="1" s="1"/>
  <c r="CU231" i="1"/>
  <c r="CT232" i="1"/>
  <c r="EM232" i="1" s="1"/>
  <c r="CU232" i="1"/>
  <c r="CT233" i="1"/>
  <c r="DO233" i="1" s="1"/>
  <c r="CU233" i="1"/>
  <c r="CT234" i="1"/>
  <c r="DO234" i="1" s="1"/>
  <c r="CU234" i="1"/>
  <c r="CT235" i="1"/>
  <c r="EG235" i="1" s="1"/>
  <c r="CU235" i="1"/>
  <c r="CT236" i="1"/>
  <c r="DX236" i="1" s="1"/>
  <c r="CU236" i="1"/>
  <c r="CT237" i="1"/>
  <c r="DI237" i="1" s="1"/>
  <c r="CU237" i="1"/>
  <c r="CT238" i="1"/>
  <c r="DI238" i="1" s="1"/>
  <c r="CU238" i="1"/>
  <c r="CT239" i="1"/>
  <c r="DF239" i="1" s="1"/>
  <c r="CU239" i="1"/>
  <c r="CT240" i="1"/>
  <c r="EA240" i="1" s="1"/>
  <c r="CU240" i="1"/>
  <c r="CT241" i="1"/>
  <c r="DC241" i="1" s="1"/>
  <c r="CU241" i="1"/>
  <c r="CT242" i="1"/>
  <c r="DC242" i="1" s="1"/>
  <c r="CU242" i="1"/>
  <c r="CT243" i="1"/>
  <c r="CU243" i="1"/>
  <c r="CT244" i="1"/>
  <c r="CU244" i="1"/>
  <c r="CT245" i="1"/>
  <c r="CW245" i="1" s="1"/>
  <c r="CU245" i="1"/>
  <c r="CT246" i="1"/>
  <c r="CW246" i="1" s="1"/>
  <c r="CU246" i="1"/>
  <c r="CT247" i="1"/>
  <c r="CU247" i="1"/>
  <c r="CT248" i="1"/>
  <c r="DF248" i="1" s="1"/>
  <c r="CU248" i="1"/>
  <c r="CT249" i="1"/>
  <c r="EA249" i="1" s="1"/>
  <c r="CU249" i="1"/>
  <c r="CT250" i="1"/>
  <c r="DR250" i="1" s="1"/>
  <c r="CU250" i="1"/>
  <c r="CT251" i="1"/>
  <c r="CU251" i="1"/>
  <c r="CT252" i="1"/>
  <c r="DL252" i="1" s="1"/>
  <c r="CU252" i="1"/>
  <c r="CT253" i="1"/>
  <c r="DU253" i="1" s="1"/>
  <c r="CU253" i="1"/>
  <c r="CT254" i="1"/>
  <c r="DU254" i="1" s="1"/>
  <c r="CU254" i="1"/>
  <c r="CT255" i="1"/>
  <c r="CU255" i="1"/>
  <c r="CT256" i="1"/>
  <c r="CU256" i="1"/>
  <c r="CT257" i="1"/>
  <c r="DC257" i="1" s="1"/>
  <c r="CU257" i="1"/>
  <c r="CT258" i="1"/>
  <c r="CW258" i="1" s="1"/>
  <c r="CU258" i="1"/>
  <c r="CT259" i="1"/>
  <c r="CU259" i="1"/>
  <c r="CT260" i="1"/>
  <c r="DL260" i="1" s="1"/>
  <c r="CU260" i="1"/>
  <c r="CT261" i="1"/>
  <c r="CW261" i="1" s="1"/>
  <c r="CU261" i="1"/>
  <c r="CT262" i="1"/>
  <c r="CW262" i="1" s="1"/>
  <c r="CU262" i="1"/>
  <c r="CT263" i="1"/>
  <c r="CU263" i="1"/>
  <c r="CT264" i="1"/>
  <c r="DF264" i="1" s="1"/>
  <c r="CU264" i="1"/>
  <c r="CT265" i="1"/>
  <c r="DO265" i="1" s="1"/>
  <c r="CU265" i="1"/>
  <c r="CT266" i="1"/>
  <c r="DO266" i="1" s="1"/>
  <c r="CU266" i="1"/>
  <c r="CT267" i="1"/>
  <c r="DL267" i="1" s="1"/>
  <c r="CU267" i="1"/>
  <c r="CT268" i="1"/>
  <c r="DX268" i="1" s="1"/>
  <c r="CU268" i="1"/>
  <c r="CT269" i="1"/>
  <c r="DI269" i="1" s="1"/>
  <c r="CU269" i="1"/>
  <c r="CT270" i="1"/>
  <c r="DI270" i="1" s="1"/>
  <c r="CU270" i="1"/>
  <c r="CT271" i="1"/>
  <c r="DF271" i="1" s="1"/>
  <c r="CU271" i="1"/>
  <c r="CT272" i="1"/>
  <c r="EA272" i="1" s="1"/>
  <c r="CU272" i="1"/>
  <c r="CU3" i="1"/>
  <c r="CT3" i="1"/>
  <c r="CZ3" i="1" s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V3" i="2"/>
  <c r="AA3" i="2" s="1"/>
  <c r="V4" i="2"/>
  <c r="V5" i="2"/>
  <c r="V6" i="2"/>
  <c r="V7" i="2"/>
  <c r="V8" i="2"/>
  <c r="AB8" i="2" s="1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AH35" i="2" s="1"/>
  <c r="V36" i="2"/>
  <c r="V37" i="2"/>
  <c r="V38" i="2"/>
  <c r="V39" i="2"/>
  <c r="V40" i="2"/>
  <c r="V41" i="2"/>
  <c r="V42" i="2"/>
  <c r="V43" i="2"/>
  <c r="V44" i="2"/>
  <c r="AJ44" i="2" s="1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X69" i="2" s="1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AA90" i="2" s="1"/>
  <c r="V91" i="2"/>
  <c r="AI91" i="2" s="1"/>
  <c r="V92" i="2"/>
  <c r="V93" i="2"/>
  <c r="V94" i="2"/>
  <c r="V95" i="2"/>
  <c r="V96" i="2"/>
  <c r="AC96" i="2" s="1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Y110" i="2" s="1"/>
  <c r="V111" i="2"/>
  <c r="V112" i="2"/>
  <c r="V113" i="2"/>
  <c r="V114" i="2"/>
  <c r="AG114" i="2" s="1"/>
  <c r="V115" i="2"/>
  <c r="V116" i="2"/>
  <c r="AC116" i="2" s="1"/>
  <c r="V117" i="2"/>
  <c r="V118" i="2"/>
  <c r="V119" i="2"/>
  <c r="V120" i="2"/>
  <c r="AK120" i="2" s="1"/>
  <c r="V121" i="2"/>
  <c r="V122" i="2"/>
  <c r="V123" i="2"/>
  <c r="V124" i="2"/>
  <c r="V125" i="2"/>
  <c r="V126" i="2"/>
  <c r="V127" i="2"/>
  <c r="V128" i="2"/>
  <c r="V129" i="2"/>
  <c r="V130" i="2"/>
  <c r="V131" i="2"/>
  <c r="AK131" i="2" s="1"/>
  <c r="V132" i="2"/>
  <c r="AK132" i="2" s="1"/>
  <c r="V133" i="2"/>
  <c r="V134" i="2"/>
  <c r="V135" i="2"/>
  <c r="V136" i="2"/>
  <c r="V137" i="2"/>
  <c r="AE137" i="2" s="1"/>
  <c r="V138" i="2"/>
  <c r="V139" i="2"/>
  <c r="V140" i="2"/>
  <c r="V141" i="2"/>
  <c r="Y141" i="2" s="1"/>
  <c r="V142" i="2"/>
  <c r="V143" i="2"/>
  <c r="V144" i="2"/>
  <c r="AH144" i="2" s="1"/>
  <c r="V145" i="2"/>
  <c r="AG145" i="2" s="1"/>
  <c r="V146" i="2"/>
  <c r="AI146" i="2" s="1"/>
  <c r="V147" i="2"/>
  <c r="X147" i="2" s="1"/>
  <c r="V148" i="2"/>
  <c r="V149" i="2"/>
  <c r="V150" i="2"/>
  <c r="V151" i="2"/>
  <c r="AC151" i="2" s="1"/>
  <c r="V152" i="2"/>
  <c r="AE152" i="2" s="1"/>
  <c r="V153" i="2"/>
  <c r="AG153" i="2" s="1"/>
  <c r="V154" i="2"/>
  <c r="AI154" i="2" s="1"/>
  <c r="V155" i="2"/>
  <c r="X155" i="2" s="1"/>
  <c r="V156" i="2"/>
  <c r="Z156" i="2" s="1"/>
  <c r="V157" i="2"/>
  <c r="Y157" i="2" s="1"/>
  <c r="V158" i="2"/>
  <c r="AA158" i="2" s="1"/>
  <c r="V159" i="2"/>
  <c r="V160" i="2"/>
  <c r="AE160" i="2" s="1"/>
  <c r="V161" i="2"/>
  <c r="AG161" i="2" s="1"/>
  <c r="V162" i="2"/>
  <c r="V163" i="2"/>
  <c r="AK163" i="2" s="1"/>
  <c r="V164" i="2"/>
  <c r="Z164" i="2" s="1"/>
  <c r="V165" i="2"/>
  <c r="AB165" i="2" s="1"/>
  <c r="V166" i="2"/>
  <c r="AA166" i="2" s="1"/>
  <c r="V167" i="2"/>
  <c r="V168" i="2"/>
  <c r="V169" i="2"/>
  <c r="AJ169" i="2" s="1"/>
  <c r="V170" i="2"/>
  <c r="AI170" i="2" s="1"/>
  <c r="V171" i="2"/>
  <c r="V172" i="2"/>
  <c r="V173" i="2"/>
  <c r="V174" i="2"/>
  <c r="AA174" i="2" s="1"/>
  <c r="V175" i="2"/>
  <c r="AC175" i="2" s="1"/>
  <c r="V176" i="2"/>
  <c r="V177" i="2"/>
  <c r="AG177" i="2" s="1"/>
  <c r="V178" i="2"/>
  <c r="AI178" i="2" s="1"/>
  <c r="V179" i="2"/>
  <c r="X179" i="2" s="1"/>
  <c r="V180" i="2"/>
  <c r="V181" i="2"/>
  <c r="V182" i="2"/>
  <c r="AA182" i="2" s="1"/>
  <c r="V183" i="2"/>
  <c r="AC183" i="2" s="1"/>
  <c r="V184" i="2"/>
  <c r="AE184" i="2" s="1"/>
  <c r="V185" i="2"/>
  <c r="AG185" i="2" s="1"/>
  <c r="V186" i="2"/>
  <c r="AI186" i="2" s="1"/>
  <c r="V187" i="2"/>
  <c r="X187" i="2" s="1"/>
  <c r="V188" i="2"/>
  <c r="Z188" i="2" s="1"/>
  <c r="V189" i="2"/>
  <c r="Y189" i="2" s="1"/>
  <c r="V190" i="2"/>
  <c r="V191" i="2"/>
  <c r="V192" i="2"/>
  <c r="AH192" i="2" s="1"/>
  <c r="V193" i="2"/>
  <c r="AG193" i="2" s="1"/>
  <c r="V194" i="2"/>
  <c r="V195" i="2"/>
  <c r="AK195" i="2" s="1"/>
  <c r="V196" i="2"/>
  <c r="Z196" i="2" s="1"/>
  <c r="V197" i="2"/>
  <c r="AB197" i="2" s="1"/>
  <c r="V198" i="2"/>
  <c r="AA198" i="2" s="1"/>
  <c r="V199" i="2"/>
  <c r="V200" i="2"/>
  <c r="AE200" i="2" s="1"/>
  <c r="V201" i="2"/>
  <c r="AJ201" i="2" s="1"/>
  <c r="V202" i="2"/>
  <c r="AI202" i="2" s="1"/>
  <c r="V203" i="2"/>
  <c r="V204" i="2"/>
  <c r="V205" i="2"/>
  <c r="V206" i="2"/>
  <c r="AA206" i="2" s="1"/>
  <c r="V207" i="2"/>
  <c r="AC207" i="2" s="1"/>
  <c r="V208" i="2"/>
  <c r="V209" i="2"/>
  <c r="AG209" i="2" s="1"/>
  <c r="V210" i="2"/>
  <c r="AI210" i="2" s="1"/>
  <c r="V211" i="2"/>
  <c r="X211" i="2" s="1"/>
  <c r="V212" i="2"/>
  <c r="V213" i="2"/>
  <c r="V214" i="2"/>
  <c r="AA214" i="2" s="1"/>
  <c r="V215" i="2"/>
  <c r="AC215" i="2" s="1"/>
  <c r="V216" i="2"/>
  <c r="AE216" i="2" s="1"/>
  <c r="V217" i="2"/>
  <c r="AC217" i="2" s="1"/>
  <c r="V218" i="2"/>
  <c r="Y218" i="2" s="1"/>
  <c r="V219" i="2"/>
  <c r="Y219" i="2" s="1"/>
  <c r="V220" i="2"/>
  <c r="AC220" i="2" s="1"/>
  <c r="V221" i="2"/>
  <c r="AC221" i="2" s="1"/>
  <c r="V222" i="2"/>
  <c r="AE222" i="2" s="1"/>
  <c r="V223" i="2"/>
  <c r="Y223" i="2" s="1"/>
  <c r="V224" i="2"/>
  <c r="AC224" i="2" s="1"/>
  <c r="V225" i="2"/>
  <c r="AE225" i="2" s="1"/>
  <c r="V226" i="2"/>
  <c r="AG226" i="2" s="1"/>
  <c r="V227" i="2"/>
  <c r="Y227" i="2" s="1"/>
  <c r="V228" i="2"/>
  <c r="AA228" i="2" s="1"/>
  <c r="V229" i="2"/>
  <c r="AK229" i="2" s="1"/>
  <c r="V230" i="2"/>
  <c r="Y230" i="2" s="1"/>
  <c r="V231" i="2"/>
  <c r="V232" i="2"/>
  <c r="AA232" i="2" s="1"/>
  <c r="V233" i="2"/>
  <c r="AC233" i="2" s="1"/>
  <c r="V234" i="2"/>
  <c r="Y234" i="2" s="1"/>
  <c r="V235" i="2"/>
  <c r="Y235" i="2" s="1"/>
  <c r="V236" i="2"/>
  <c r="AC236" i="2" s="1"/>
  <c r="V237" i="2"/>
  <c r="AC237" i="2" s="1"/>
  <c r="V238" i="2"/>
  <c r="AE238" i="2" s="1"/>
  <c r="V239" i="2"/>
  <c r="Y239" i="2" s="1"/>
  <c r="V240" i="2"/>
  <c r="V241" i="2"/>
  <c r="AE241" i="2" s="1"/>
  <c r="V242" i="2"/>
  <c r="AG242" i="2" s="1"/>
  <c r="V243" i="2"/>
  <c r="Y243" i="2" s="1"/>
  <c r="V244" i="2"/>
  <c r="AA244" i="2" s="1"/>
  <c r="V245" i="2"/>
  <c r="AK245" i="2" s="1"/>
  <c r="V246" i="2"/>
  <c r="Y246" i="2" s="1"/>
  <c r="V247" i="2"/>
  <c r="V248" i="2"/>
  <c r="AC248" i="2" s="1"/>
  <c r="V249" i="2"/>
  <c r="AC249" i="2" s="1"/>
  <c r="V250" i="2"/>
  <c r="Y250" i="2" s="1"/>
  <c r="V251" i="2"/>
  <c r="Y251" i="2" s="1"/>
  <c r="V252" i="2"/>
  <c r="AC252" i="2" s="1"/>
  <c r="V253" i="2"/>
  <c r="AC253" i="2" s="1"/>
  <c r="V254" i="2"/>
  <c r="V255" i="2"/>
  <c r="Y255" i="2" s="1"/>
  <c r="V256" i="2"/>
  <c r="V257" i="2"/>
  <c r="AE257" i="2" s="1"/>
  <c r="V258" i="2"/>
  <c r="AG258" i="2" s="1"/>
  <c r="V259" i="2"/>
  <c r="Y259" i="2" s="1"/>
  <c r="V260" i="2"/>
  <c r="AA260" i="2" s="1"/>
  <c r="V261" i="2"/>
  <c r="AK261" i="2" s="1"/>
  <c r="V262" i="2"/>
  <c r="Y262" i="2" s="1"/>
  <c r="V263" i="2"/>
  <c r="AC263" i="2" s="1"/>
  <c r="V264" i="2"/>
  <c r="AI264" i="2" s="1"/>
  <c r="V265" i="2"/>
  <c r="AG265" i="2" s="1"/>
  <c r="V266" i="2"/>
  <c r="Y266" i="2" s="1"/>
  <c r="V267" i="2"/>
  <c r="AG267" i="2" s="1"/>
  <c r="V268" i="2"/>
  <c r="AA268" i="2" s="1"/>
  <c r="V269" i="2"/>
  <c r="AE269" i="2" s="1"/>
  <c r="V270" i="2"/>
  <c r="X270" i="2" s="1"/>
  <c r="V271" i="2"/>
  <c r="AI271" i="2" s="1"/>
  <c r="V272" i="2"/>
  <c r="AC272" i="2" s="1"/>
  <c r="AQ1" i="1"/>
  <c r="CV150" i="1" l="1"/>
  <c r="DE192" i="1"/>
  <c r="CY164" i="1"/>
  <c r="AA271" i="2"/>
  <c r="AC265" i="2"/>
  <c r="AG255" i="2"/>
  <c r="AH3" i="2"/>
  <c r="AG243" i="2"/>
  <c r="AE234" i="2"/>
  <c r="AF3" i="2"/>
  <c r="Y271" i="2"/>
  <c r="AI263" i="2"/>
  <c r="AK241" i="2"/>
  <c r="AI220" i="2"/>
  <c r="AG201" i="2"/>
  <c r="AK147" i="2"/>
  <c r="Z3" i="2"/>
  <c r="AG269" i="2"/>
  <c r="AC241" i="2"/>
  <c r="Y197" i="2"/>
  <c r="AD269" i="2"/>
  <c r="AI252" i="2"/>
  <c r="AG239" i="2"/>
  <c r="AG227" i="2"/>
  <c r="AE218" i="2"/>
  <c r="AG169" i="2"/>
  <c r="AC268" i="2"/>
  <c r="AK225" i="2"/>
  <c r="Y165" i="2"/>
  <c r="AK267" i="2"/>
  <c r="AG259" i="2"/>
  <c r="AE250" i="2"/>
  <c r="AC225" i="2"/>
  <c r="AK211" i="2"/>
  <c r="AK187" i="2"/>
  <c r="AI266" i="2"/>
  <c r="AK257" i="2"/>
  <c r="AI236" i="2"/>
  <c r="AG223" i="2"/>
  <c r="AE266" i="2"/>
  <c r="AC257" i="2"/>
  <c r="AK179" i="2"/>
  <c r="AK155" i="2"/>
  <c r="AD256" i="2"/>
  <c r="AE256" i="2"/>
  <c r="X256" i="2"/>
  <c r="AF256" i="2"/>
  <c r="Y256" i="2"/>
  <c r="AG256" i="2"/>
  <c r="Z256" i="2"/>
  <c r="AH256" i="2"/>
  <c r="AB256" i="2"/>
  <c r="AJ256" i="2"/>
  <c r="AA168" i="2"/>
  <c r="AI168" i="2"/>
  <c r="AB168" i="2"/>
  <c r="AJ168" i="2"/>
  <c r="AD168" i="2"/>
  <c r="Y168" i="2"/>
  <c r="AG168" i="2"/>
  <c r="AK168" i="2"/>
  <c r="X168" i="2"/>
  <c r="Z168" i="2"/>
  <c r="AC168" i="2"/>
  <c r="AF168" i="2"/>
  <c r="X136" i="2"/>
  <c r="AF136" i="2"/>
  <c r="Y136" i="2"/>
  <c r="AG136" i="2"/>
  <c r="Z136" i="2"/>
  <c r="AH136" i="2"/>
  <c r="AA136" i="2"/>
  <c r="AI136" i="2"/>
  <c r="AB136" i="2"/>
  <c r="AJ136" i="2"/>
  <c r="AD136" i="2"/>
  <c r="AC136" i="2"/>
  <c r="AK136" i="2"/>
  <c r="X104" i="2"/>
  <c r="AF104" i="2"/>
  <c r="Y104" i="2"/>
  <c r="AG104" i="2"/>
  <c r="Z104" i="2"/>
  <c r="AH104" i="2"/>
  <c r="AA104" i="2"/>
  <c r="AI104" i="2"/>
  <c r="AB104" i="2"/>
  <c r="AJ104" i="2"/>
  <c r="AD104" i="2"/>
  <c r="AC104" i="2"/>
  <c r="AE104" i="2"/>
  <c r="AK104" i="2"/>
  <c r="AE64" i="2"/>
  <c r="Y64" i="2"/>
  <c r="AG64" i="2"/>
  <c r="Z64" i="2"/>
  <c r="AH64" i="2"/>
  <c r="AA64" i="2"/>
  <c r="AI64" i="2"/>
  <c r="AC64" i="2"/>
  <c r="AK64" i="2"/>
  <c r="X64" i="2"/>
  <c r="AB64" i="2"/>
  <c r="AF64" i="2"/>
  <c r="AD64" i="2"/>
  <c r="AJ64" i="2"/>
  <c r="AE24" i="2"/>
  <c r="X24" i="2"/>
  <c r="AF24" i="2"/>
  <c r="Y24" i="2"/>
  <c r="AG24" i="2"/>
  <c r="Z24" i="2"/>
  <c r="AH24" i="2"/>
  <c r="AA24" i="2"/>
  <c r="AI24" i="2"/>
  <c r="AC24" i="2"/>
  <c r="AK24" i="2"/>
  <c r="AD24" i="2"/>
  <c r="AJ24" i="2"/>
  <c r="AB24" i="2"/>
  <c r="AS246" i="2"/>
  <c r="AL246" i="2"/>
  <c r="AT246" i="2"/>
  <c r="AM246" i="2"/>
  <c r="AU246" i="2"/>
  <c r="AN246" i="2"/>
  <c r="AV246" i="2"/>
  <c r="AO246" i="2"/>
  <c r="AW246" i="2"/>
  <c r="AQ246" i="2"/>
  <c r="AY246" i="2"/>
  <c r="AX246" i="2"/>
  <c r="AP246" i="2"/>
  <c r="AR246" i="2"/>
  <c r="AS158" i="2"/>
  <c r="AL158" i="2"/>
  <c r="AT158" i="2"/>
  <c r="AM158" i="2"/>
  <c r="AU158" i="2"/>
  <c r="AN158" i="2"/>
  <c r="AV158" i="2"/>
  <c r="AO158" i="2"/>
  <c r="AW158" i="2"/>
  <c r="AQ158" i="2"/>
  <c r="AY158" i="2"/>
  <c r="AP158" i="2"/>
  <c r="AR158" i="2"/>
  <c r="AX158" i="2"/>
  <c r="AL126" i="2"/>
  <c r="AT126" i="2"/>
  <c r="AM126" i="2"/>
  <c r="AU126" i="2"/>
  <c r="AN126" i="2"/>
  <c r="AV126" i="2"/>
  <c r="AO126" i="2"/>
  <c r="AW126" i="2"/>
  <c r="AP126" i="2"/>
  <c r="AX126" i="2"/>
  <c r="AQ126" i="2"/>
  <c r="AY126" i="2"/>
  <c r="AR126" i="2"/>
  <c r="AS126" i="2"/>
  <c r="AM118" i="2"/>
  <c r="AU118" i="2"/>
  <c r="AP118" i="2"/>
  <c r="AX118" i="2"/>
  <c r="AQ118" i="2"/>
  <c r="AY118" i="2"/>
  <c r="AS118" i="2"/>
  <c r="AR118" i="2"/>
  <c r="AT118" i="2"/>
  <c r="AV118" i="2"/>
  <c r="AW118" i="2"/>
  <c r="AL118" i="2"/>
  <c r="AN118" i="2"/>
  <c r="AO118" i="2"/>
  <c r="AM110" i="2"/>
  <c r="AU110" i="2"/>
  <c r="AP110" i="2"/>
  <c r="AX110" i="2"/>
  <c r="AQ110" i="2"/>
  <c r="AY110" i="2"/>
  <c r="AS110" i="2"/>
  <c r="AR110" i="2"/>
  <c r="AT110" i="2"/>
  <c r="AV110" i="2"/>
  <c r="AW110" i="2"/>
  <c r="AL110" i="2"/>
  <c r="AN110" i="2"/>
  <c r="AO110" i="2"/>
  <c r="AM102" i="2"/>
  <c r="AU102" i="2"/>
  <c r="AP102" i="2"/>
  <c r="AX102" i="2"/>
  <c r="AQ102" i="2"/>
  <c r="AY102" i="2"/>
  <c r="AS102" i="2"/>
  <c r="AR102" i="2"/>
  <c r="AT102" i="2"/>
  <c r="AV102" i="2"/>
  <c r="AW102" i="2"/>
  <c r="AL102" i="2"/>
  <c r="AN102" i="2"/>
  <c r="AO102" i="2"/>
  <c r="AM94" i="2"/>
  <c r="AU94" i="2"/>
  <c r="AP94" i="2"/>
  <c r="AX94" i="2"/>
  <c r="AQ94" i="2"/>
  <c r="AY94" i="2"/>
  <c r="AS94" i="2"/>
  <c r="AR94" i="2"/>
  <c r="AT94" i="2"/>
  <c r="AV94" i="2"/>
  <c r="AW94" i="2"/>
  <c r="AL94" i="2"/>
  <c r="AN94" i="2"/>
  <c r="AO94" i="2"/>
  <c r="AM86" i="2"/>
  <c r="AU86" i="2"/>
  <c r="AP86" i="2"/>
  <c r="AX86" i="2"/>
  <c r="AQ86" i="2"/>
  <c r="AY86" i="2"/>
  <c r="AS86" i="2"/>
  <c r="AR86" i="2"/>
  <c r="AT86" i="2"/>
  <c r="AV86" i="2"/>
  <c r="AW86" i="2"/>
  <c r="AL86" i="2"/>
  <c r="AN86" i="2"/>
  <c r="AO86" i="2"/>
  <c r="AS78" i="2"/>
  <c r="AL78" i="2"/>
  <c r="AT78" i="2"/>
  <c r="AM78" i="2"/>
  <c r="AU78" i="2"/>
  <c r="AN78" i="2"/>
  <c r="AV78" i="2"/>
  <c r="AO78" i="2"/>
  <c r="AW78" i="2"/>
  <c r="AQ78" i="2"/>
  <c r="AY78" i="2"/>
  <c r="AX78" i="2"/>
  <c r="AP78" i="2"/>
  <c r="AR78" i="2"/>
  <c r="AS70" i="2"/>
  <c r="AL70" i="2"/>
  <c r="AT70" i="2"/>
  <c r="AM70" i="2"/>
  <c r="AU70" i="2"/>
  <c r="AN70" i="2"/>
  <c r="AV70" i="2"/>
  <c r="AO70" i="2"/>
  <c r="AW70" i="2"/>
  <c r="AQ70" i="2"/>
  <c r="AY70" i="2"/>
  <c r="AP70" i="2"/>
  <c r="AR70" i="2"/>
  <c r="AX70" i="2"/>
  <c r="AS62" i="2"/>
  <c r="AL62" i="2"/>
  <c r="AT62" i="2"/>
  <c r="AM62" i="2"/>
  <c r="AU62" i="2"/>
  <c r="AN62" i="2"/>
  <c r="AV62" i="2"/>
  <c r="AO62" i="2"/>
  <c r="AW62" i="2"/>
  <c r="AQ62" i="2"/>
  <c r="AY62" i="2"/>
  <c r="AX62" i="2"/>
  <c r="AP62" i="2"/>
  <c r="AR62" i="2"/>
  <c r="AS54" i="2"/>
  <c r="AL54" i="2"/>
  <c r="AT54" i="2"/>
  <c r="AM54" i="2"/>
  <c r="AU54" i="2"/>
  <c r="AN54" i="2"/>
  <c r="AV54" i="2"/>
  <c r="AO54" i="2"/>
  <c r="AW54" i="2"/>
  <c r="AQ54" i="2"/>
  <c r="AY54" i="2"/>
  <c r="AP54" i="2"/>
  <c r="AR54" i="2"/>
  <c r="AX54" i="2"/>
  <c r="AQ46" i="2"/>
  <c r="AY46" i="2"/>
  <c r="AS46" i="2"/>
  <c r="AL46" i="2"/>
  <c r="AT46" i="2"/>
  <c r="AM46" i="2"/>
  <c r="AU46" i="2"/>
  <c r="AN46" i="2"/>
  <c r="AV46" i="2"/>
  <c r="AO46" i="2"/>
  <c r="AP46" i="2"/>
  <c r="AW46" i="2"/>
  <c r="AR46" i="2"/>
  <c r="AX46" i="2"/>
  <c r="AQ38" i="2"/>
  <c r="AY38" i="2"/>
  <c r="AS38" i="2"/>
  <c r="AL38" i="2"/>
  <c r="AT38" i="2"/>
  <c r="AM38" i="2"/>
  <c r="AU38" i="2"/>
  <c r="AN38" i="2"/>
  <c r="AV38" i="2"/>
  <c r="AO38" i="2"/>
  <c r="AP38" i="2"/>
  <c r="AR38" i="2"/>
  <c r="AW38" i="2"/>
  <c r="AX38" i="2"/>
  <c r="AQ30" i="2"/>
  <c r="AY30" i="2"/>
  <c r="AS30" i="2"/>
  <c r="AL30" i="2"/>
  <c r="AT30" i="2"/>
  <c r="AM30" i="2"/>
  <c r="AU30" i="2"/>
  <c r="AN30" i="2"/>
  <c r="AV30" i="2"/>
  <c r="AP30" i="2"/>
  <c r="AR30" i="2"/>
  <c r="AW30" i="2"/>
  <c r="AX30" i="2"/>
  <c r="AO30" i="2"/>
  <c r="AQ22" i="2"/>
  <c r="AY22" i="2"/>
  <c r="AS22" i="2"/>
  <c r="AL22" i="2"/>
  <c r="AT22" i="2"/>
  <c r="AM22" i="2"/>
  <c r="AU22" i="2"/>
  <c r="AN22" i="2"/>
  <c r="AV22" i="2"/>
  <c r="AW22" i="2"/>
  <c r="AX22" i="2"/>
  <c r="AP22" i="2"/>
  <c r="AO22" i="2"/>
  <c r="AR22" i="2"/>
  <c r="AP14" i="2"/>
  <c r="AX14" i="2"/>
  <c r="AQ14" i="2"/>
  <c r="AY14" i="2"/>
  <c r="AR14" i="2"/>
  <c r="AS14" i="2"/>
  <c r="AL14" i="2"/>
  <c r="AT14" i="2"/>
  <c r="AM14" i="2"/>
  <c r="AU14" i="2"/>
  <c r="AN14" i="2"/>
  <c r="AV14" i="2"/>
  <c r="AO14" i="2"/>
  <c r="AW14" i="2"/>
  <c r="AP6" i="2"/>
  <c r="AX6" i="2"/>
  <c r="AQ6" i="2"/>
  <c r="AY6" i="2"/>
  <c r="AR6" i="2"/>
  <c r="AS6" i="2"/>
  <c r="AL6" i="2"/>
  <c r="AT6" i="2"/>
  <c r="AM6" i="2"/>
  <c r="AU6" i="2"/>
  <c r="AN6" i="2"/>
  <c r="AV6" i="2"/>
  <c r="AO6" i="2"/>
  <c r="AW6" i="2"/>
  <c r="AI272" i="2"/>
  <c r="X272" i="2"/>
  <c r="AE270" i="2"/>
  <c r="AA262" i="2"/>
  <c r="AI248" i="2"/>
  <c r="AE246" i="2"/>
  <c r="AI232" i="2"/>
  <c r="AE230" i="2"/>
  <c r="AB271" i="2"/>
  <c r="AJ271" i="2"/>
  <c r="X271" i="2"/>
  <c r="AF271" i="2"/>
  <c r="AB263" i="2"/>
  <c r="AJ263" i="2"/>
  <c r="AD263" i="2"/>
  <c r="AE263" i="2"/>
  <c r="X263" i="2"/>
  <c r="AF263" i="2"/>
  <c r="Z263" i="2"/>
  <c r="AH263" i="2"/>
  <c r="AB255" i="2"/>
  <c r="AJ255" i="2"/>
  <c r="AC255" i="2"/>
  <c r="AK255" i="2"/>
  <c r="AD255" i="2"/>
  <c r="AE255" i="2"/>
  <c r="X255" i="2"/>
  <c r="AF255" i="2"/>
  <c r="Z255" i="2"/>
  <c r="AH255" i="2"/>
  <c r="AB247" i="2"/>
  <c r="AJ247" i="2"/>
  <c r="AC247" i="2"/>
  <c r="AK247" i="2"/>
  <c r="AD247" i="2"/>
  <c r="AE247" i="2"/>
  <c r="X247" i="2"/>
  <c r="AF247" i="2"/>
  <c r="Z247" i="2"/>
  <c r="AH247" i="2"/>
  <c r="AB239" i="2"/>
  <c r="AJ239" i="2"/>
  <c r="AC239" i="2"/>
  <c r="AK239" i="2"/>
  <c r="AD239" i="2"/>
  <c r="AE239" i="2"/>
  <c r="X239" i="2"/>
  <c r="AF239" i="2"/>
  <c r="Z239" i="2"/>
  <c r="AH239" i="2"/>
  <c r="AB231" i="2"/>
  <c r="AJ231" i="2"/>
  <c r="AC231" i="2"/>
  <c r="AK231" i="2"/>
  <c r="AD231" i="2"/>
  <c r="AE231" i="2"/>
  <c r="X231" i="2"/>
  <c r="AF231" i="2"/>
  <c r="Z231" i="2"/>
  <c r="AH231" i="2"/>
  <c r="AB223" i="2"/>
  <c r="AJ223" i="2"/>
  <c r="AC223" i="2"/>
  <c r="AK223" i="2"/>
  <c r="AD223" i="2"/>
  <c r="AE223" i="2"/>
  <c r="X223" i="2"/>
  <c r="AF223" i="2"/>
  <c r="Z223" i="2"/>
  <c r="AH223" i="2"/>
  <c r="Y215" i="2"/>
  <c r="AG215" i="2"/>
  <c r="Z215" i="2"/>
  <c r="AH215" i="2"/>
  <c r="AB215" i="2"/>
  <c r="AJ215" i="2"/>
  <c r="AE215" i="2"/>
  <c r="AI215" i="2"/>
  <c r="AK215" i="2"/>
  <c r="X215" i="2"/>
  <c r="AA215" i="2"/>
  <c r="AD215" i="2"/>
  <c r="Y207" i="2"/>
  <c r="AG207" i="2"/>
  <c r="Z207" i="2"/>
  <c r="AH207" i="2"/>
  <c r="AB207" i="2"/>
  <c r="AJ207" i="2"/>
  <c r="AE207" i="2"/>
  <c r="AI207" i="2"/>
  <c r="AK207" i="2"/>
  <c r="X207" i="2"/>
  <c r="AA207" i="2"/>
  <c r="AD207" i="2"/>
  <c r="Y199" i="2"/>
  <c r="AG199" i="2"/>
  <c r="Z199" i="2"/>
  <c r="AH199" i="2"/>
  <c r="AB199" i="2"/>
  <c r="AJ199" i="2"/>
  <c r="AE199" i="2"/>
  <c r="AI199" i="2"/>
  <c r="AK199" i="2"/>
  <c r="X199" i="2"/>
  <c r="AA199" i="2"/>
  <c r="AD199" i="2"/>
  <c r="Y191" i="2"/>
  <c r="AG191" i="2"/>
  <c r="Z191" i="2"/>
  <c r="AH191" i="2"/>
  <c r="AB191" i="2"/>
  <c r="AJ191" i="2"/>
  <c r="AE191" i="2"/>
  <c r="AI191" i="2"/>
  <c r="AK191" i="2"/>
  <c r="X191" i="2"/>
  <c r="AA191" i="2"/>
  <c r="AD191" i="2"/>
  <c r="Y183" i="2"/>
  <c r="AG183" i="2"/>
  <c r="Z183" i="2"/>
  <c r="AH183" i="2"/>
  <c r="AB183" i="2"/>
  <c r="AJ183" i="2"/>
  <c r="AE183" i="2"/>
  <c r="AI183" i="2"/>
  <c r="AK183" i="2"/>
  <c r="X183" i="2"/>
  <c r="AA183" i="2"/>
  <c r="AD183" i="2"/>
  <c r="Y175" i="2"/>
  <c r="AG175" i="2"/>
  <c r="Z175" i="2"/>
  <c r="AH175" i="2"/>
  <c r="AB175" i="2"/>
  <c r="AJ175" i="2"/>
  <c r="AE175" i="2"/>
  <c r="AI175" i="2"/>
  <c r="AK175" i="2"/>
  <c r="X175" i="2"/>
  <c r="AA175" i="2"/>
  <c r="AD175" i="2"/>
  <c r="Y167" i="2"/>
  <c r="AG167" i="2"/>
  <c r="Z167" i="2"/>
  <c r="AH167" i="2"/>
  <c r="AB167" i="2"/>
  <c r="AJ167" i="2"/>
  <c r="AE167" i="2"/>
  <c r="AI167" i="2"/>
  <c r="AK167" i="2"/>
  <c r="X167" i="2"/>
  <c r="AA167" i="2"/>
  <c r="AD167" i="2"/>
  <c r="Y159" i="2"/>
  <c r="AG159" i="2"/>
  <c r="Z159" i="2"/>
  <c r="AH159" i="2"/>
  <c r="AB159" i="2"/>
  <c r="AJ159" i="2"/>
  <c r="AE159" i="2"/>
  <c r="AI159" i="2"/>
  <c r="AK159" i="2"/>
  <c r="X159" i="2"/>
  <c r="AA159" i="2"/>
  <c r="AD159" i="2"/>
  <c r="Y151" i="2"/>
  <c r="AG151" i="2"/>
  <c r="Z151" i="2"/>
  <c r="AH151" i="2"/>
  <c r="AB151" i="2"/>
  <c r="AJ151" i="2"/>
  <c r="AE151" i="2"/>
  <c r="AI151" i="2"/>
  <c r="AK151" i="2"/>
  <c r="X151" i="2"/>
  <c r="AA151" i="2"/>
  <c r="AD151" i="2"/>
  <c r="AD143" i="2"/>
  <c r="AE143" i="2"/>
  <c r="X143" i="2"/>
  <c r="AF143" i="2"/>
  <c r="Y143" i="2"/>
  <c r="AG143" i="2"/>
  <c r="Z143" i="2"/>
  <c r="AH143" i="2"/>
  <c r="AB143" i="2"/>
  <c r="AJ143" i="2"/>
  <c r="AA143" i="2"/>
  <c r="AK143" i="2"/>
  <c r="AC143" i="2"/>
  <c r="AI143" i="2"/>
  <c r="AD135" i="2"/>
  <c r="AE135" i="2"/>
  <c r="X135" i="2"/>
  <c r="AF135" i="2"/>
  <c r="Y135" i="2"/>
  <c r="AG135" i="2"/>
  <c r="Z135" i="2"/>
  <c r="AH135" i="2"/>
  <c r="AB135" i="2"/>
  <c r="AJ135" i="2"/>
  <c r="AC135" i="2"/>
  <c r="AI135" i="2"/>
  <c r="AA135" i="2"/>
  <c r="AK135" i="2"/>
  <c r="AD127" i="2"/>
  <c r="AE127" i="2"/>
  <c r="X127" i="2"/>
  <c r="AF127" i="2"/>
  <c r="Y127" i="2"/>
  <c r="AG127" i="2"/>
  <c r="Z127" i="2"/>
  <c r="AH127" i="2"/>
  <c r="AB127" i="2"/>
  <c r="AJ127" i="2"/>
  <c r="AA127" i="2"/>
  <c r="AC127" i="2"/>
  <c r="AK127" i="2"/>
  <c r="AI127" i="2"/>
  <c r="AD119" i="2"/>
  <c r="AE119" i="2"/>
  <c r="X119" i="2"/>
  <c r="AF119" i="2"/>
  <c r="Y119" i="2"/>
  <c r="AG119" i="2"/>
  <c r="Z119" i="2"/>
  <c r="AH119" i="2"/>
  <c r="AB119" i="2"/>
  <c r="AJ119" i="2"/>
  <c r="AC119" i="2"/>
  <c r="AI119" i="2"/>
  <c r="AA119" i="2"/>
  <c r="AK119" i="2"/>
  <c r="AD111" i="2"/>
  <c r="AE111" i="2"/>
  <c r="X111" i="2"/>
  <c r="AF111" i="2"/>
  <c r="Y111" i="2"/>
  <c r="AG111" i="2"/>
  <c r="Z111" i="2"/>
  <c r="AH111" i="2"/>
  <c r="AB111" i="2"/>
  <c r="AJ111" i="2"/>
  <c r="AA111" i="2"/>
  <c r="AC111" i="2"/>
  <c r="AK111" i="2"/>
  <c r="AI111" i="2"/>
  <c r="AD103" i="2"/>
  <c r="AE103" i="2"/>
  <c r="X103" i="2"/>
  <c r="AF103" i="2"/>
  <c r="Y103" i="2"/>
  <c r="AG103" i="2"/>
  <c r="Z103" i="2"/>
  <c r="AH103" i="2"/>
  <c r="AB103" i="2"/>
  <c r="AJ103" i="2"/>
  <c r="AC103" i="2"/>
  <c r="AI103" i="2"/>
  <c r="AA103" i="2"/>
  <c r="AD95" i="2"/>
  <c r="AE95" i="2"/>
  <c r="X95" i="2"/>
  <c r="AF95" i="2"/>
  <c r="Y95" i="2"/>
  <c r="AG95" i="2"/>
  <c r="Z95" i="2"/>
  <c r="AH95" i="2"/>
  <c r="AB95" i="2"/>
  <c r="AJ95" i="2"/>
  <c r="AA95" i="2"/>
  <c r="AC95" i="2"/>
  <c r="AK95" i="2"/>
  <c r="AI95" i="2"/>
  <c r="AD87" i="2"/>
  <c r="AE87" i="2"/>
  <c r="X87" i="2"/>
  <c r="AF87" i="2"/>
  <c r="Y87" i="2"/>
  <c r="AG87" i="2"/>
  <c r="Z87" i="2"/>
  <c r="AH87" i="2"/>
  <c r="AB87" i="2"/>
  <c r="AJ87" i="2"/>
  <c r="AC87" i="2"/>
  <c r="AI87" i="2"/>
  <c r="AA87" i="2"/>
  <c r="AK87" i="2"/>
  <c r="AD79" i="2"/>
  <c r="AE79" i="2"/>
  <c r="X79" i="2"/>
  <c r="AF79" i="2"/>
  <c r="Y79" i="2"/>
  <c r="AG79" i="2"/>
  <c r="Z79" i="2"/>
  <c r="AH79" i="2"/>
  <c r="AB79" i="2"/>
  <c r="AJ79" i="2"/>
  <c r="AA79" i="2"/>
  <c r="AC79" i="2"/>
  <c r="AK79" i="2"/>
  <c r="AC71" i="2"/>
  <c r="AK71" i="2"/>
  <c r="AE71" i="2"/>
  <c r="X71" i="2"/>
  <c r="AF71" i="2"/>
  <c r="Y71" i="2"/>
  <c r="AG71" i="2"/>
  <c r="AA71" i="2"/>
  <c r="AI71" i="2"/>
  <c r="Z71" i="2"/>
  <c r="AB71" i="2"/>
  <c r="AD71" i="2"/>
  <c r="AH71" i="2"/>
  <c r="AJ71" i="2"/>
  <c r="AC63" i="2"/>
  <c r="AK63" i="2"/>
  <c r="AE63" i="2"/>
  <c r="X63" i="2"/>
  <c r="AF63" i="2"/>
  <c r="Y63" i="2"/>
  <c r="AG63" i="2"/>
  <c r="AA63" i="2"/>
  <c r="AI63" i="2"/>
  <c r="AD63" i="2"/>
  <c r="AH63" i="2"/>
  <c r="AJ63" i="2"/>
  <c r="Z63" i="2"/>
  <c r="AB63" i="2"/>
  <c r="AC55" i="2"/>
  <c r="AK55" i="2"/>
  <c r="AD55" i="2"/>
  <c r="AE55" i="2"/>
  <c r="X55" i="2"/>
  <c r="AF55" i="2"/>
  <c r="Y55" i="2"/>
  <c r="AG55" i="2"/>
  <c r="AA55" i="2"/>
  <c r="AI55" i="2"/>
  <c r="Z55" i="2"/>
  <c r="AB55" i="2"/>
  <c r="AH55" i="2"/>
  <c r="AJ55" i="2"/>
  <c r="AC47" i="2"/>
  <c r="AK47" i="2"/>
  <c r="AD47" i="2"/>
  <c r="AE47" i="2"/>
  <c r="X47" i="2"/>
  <c r="AF47" i="2"/>
  <c r="Y47" i="2"/>
  <c r="AG47" i="2"/>
  <c r="AA47" i="2"/>
  <c r="AI47" i="2"/>
  <c r="AJ47" i="2"/>
  <c r="AB47" i="2"/>
  <c r="Z47" i="2"/>
  <c r="AH47" i="2"/>
  <c r="AC39" i="2"/>
  <c r="AK39" i="2"/>
  <c r="AD39" i="2"/>
  <c r="AE39" i="2"/>
  <c r="X39" i="2"/>
  <c r="AF39" i="2"/>
  <c r="Y39" i="2"/>
  <c r="AG39" i="2"/>
  <c r="AA39" i="2"/>
  <c r="AI39" i="2"/>
  <c r="Z39" i="2"/>
  <c r="AB39" i="2"/>
  <c r="AH39" i="2"/>
  <c r="AJ39" i="2"/>
  <c r="AC31" i="2"/>
  <c r="AK31" i="2"/>
  <c r="AD31" i="2"/>
  <c r="AE31" i="2"/>
  <c r="X31" i="2"/>
  <c r="AF31" i="2"/>
  <c r="Y31" i="2"/>
  <c r="AG31" i="2"/>
  <c r="AA31" i="2"/>
  <c r="AI31" i="2"/>
  <c r="AJ31" i="2"/>
  <c r="AB31" i="2"/>
  <c r="Z31" i="2"/>
  <c r="AH31" i="2"/>
  <c r="AC23" i="2"/>
  <c r="AK23" i="2"/>
  <c r="AD23" i="2"/>
  <c r="AE23" i="2"/>
  <c r="X23" i="2"/>
  <c r="AF23" i="2"/>
  <c r="Y23" i="2"/>
  <c r="AG23" i="2"/>
  <c r="AA23" i="2"/>
  <c r="AI23" i="2"/>
  <c r="Z23" i="2"/>
  <c r="AB23" i="2"/>
  <c r="AH23" i="2"/>
  <c r="AJ23" i="2"/>
  <c r="AC15" i="2"/>
  <c r="AK15" i="2"/>
  <c r="AD15" i="2"/>
  <c r="AE15" i="2"/>
  <c r="X15" i="2"/>
  <c r="AF15" i="2"/>
  <c r="Y15" i="2"/>
  <c r="AG15" i="2"/>
  <c r="AA15" i="2"/>
  <c r="AI15" i="2"/>
  <c r="AJ15" i="2"/>
  <c r="AB15" i="2"/>
  <c r="AH15" i="2"/>
  <c r="Z15" i="2"/>
  <c r="AC7" i="2"/>
  <c r="AK7" i="2"/>
  <c r="AD7" i="2"/>
  <c r="AE7" i="2"/>
  <c r="X7" i="2"/>
  <c r="AF7" i="2"/>
  <c r="Y7" i="2"/>
  <c r="AG7" i="2"/>
  <c r="AA7" i="2"/>
  <c r="AI7" i="2"/>
  <c r="Z7" i="2"/>
  <c r="AB7" i="2"/>
  <c r="AH7" i="2"/>
  <c r="AJ7" i="2"/>
  <c r="AQ269" i="2"/>
  <c r="AY269" i="2"/>
  <c r="AR269" i="2"/>
  <c r="AS269" i="2"/>
  <c r="AM269" i="2"/>
  <c r="AU269" i="2"/>
  <c r="AO269" i="2"/>
  <c r="AW269" i="2"/>
  <c r="AX269" i="2"/>
  <c r="AL269" i="2"/>
  <c r="AN269" i="2"/>
  <c r="AT269" i="2"/>
  <c r="AP269" i="2"/>
  <c r="AV269" i="2"/>
  <c r="AQ261" i="2"/>
  <c r="AY261" i="2"/>
  <c r="AR261" i="2"/>
  <c r="AS261" i="2"/>
  <c r="AL261" i="2"/>
  <c r="AT261" i="2"/>
  <c r="AM261" i="2"/>
  <c r="AU261" i="2"/>
  <c r="AO261" i="2"/>
  <c r="AW261" i="2"/>
  <c r="AN261" i="2"/>
  <c r="AP261" i="2"/>
  <c r="AV261" i="2"/>
  <c r="AX261" i="2"/>
  <c r="AQ253" i="2"/>
  <c r="AY253" i="2"/>
  <c r="AR253" i="2"/>
  <c r="AS253" i="2"/>
  <c r="AL253" i="2"/>
  <c r="AT253" i="2"/>
  <c r="AM253" i="2"/>
  <c r="AU253" i="2"/>
  <c r="AO253" i="2"/>
  <c r="AW253" i="2"/>
  <c r="AV253" i="2"/>
  <c r="AX253" i="2"/>
  <c r="AN253" i="2"/>
  <c r="AP253" i="2"/>
  <c r="AQ245" i="2"/>
  <c r="AY245" i="2"/>
  <c r="AR245" i="2"/>
  <c r="AS245" i="2"/>
  <c r="AL245" i="2"/>
  <c r="AT245" i="2"/>
  <c r="AM245" i="2"/>
  <c r="AU245" i="2"/>
  <c r="AO245" i="2"/>
  <c r="AW245" i="2"/>
  <c r="AN245" i="2"/>
  <c r="AP245" i="2"/>
  <c r="AV245" i="2"/>
  <c r="AX245" i="2"/>
  <c r="AQ237" i="2"/>
  <c r="AY237" i="2"/>
  <c r="AR237" i="2"/>
  <c r="AS237" i="2"/>
  <c r="AL237" i="2"/>
  <c r="AT237" i="2"/>
  <c r="AM237" i="2"/>
  <c r="AU237" i="2"/>
  <c r="AO237" i="2"/>
  <c r="AW237" i="2"/>
  <c r="AV237" i="2"/>
  <c r="AX237" i="2"/>
  <c r="AN237" i="2"/>
  <c r="AP237" i="2"/>
  <c r="AQ229" i="2"/>
  <c r="AY229" i="2"/>
  <c r="AR229" i="2"/>
  <c r="AS229" i="2"/>
  <c r="AL229" i="2"/>
  <c r="AT229" i="2"/>
  <c r="AM229" i="2"/>
  <c r="AU229" i="2"/>
  <c r="AO229" i="2"/>
  <c r="AW229" i="2"/>
  <c r="AN229" i="2"/>
  <c r="AP229" i="2"/>
  <c r="AV229" i="2"/>
  <c r="AX229" i="2"/>
  <c r="AQ221" i="2"/>
  <c r="AY221" i="2"/>
  <c r="AR221" i="2"/>
  <c r="AS221" i="2"/>
  <c r="AL221" i="2"/>
  <c r="AT221" i="2"/>
  <c r="AM221" i="2"/>
  <c r="AU221" i="2"/>
  <c r="AO221" i="2"/>
  <c r="AW221" i="2"/>
  <c r="AV221" i="2"/>
  <c r="AX221" i="2"/>
  <c r="AN221" i="2"/>
  <c r="AP221" i="2"/>
  <c r="AQ213" i="2"/>
  <c r="AY213" i="2"/>
  <c r="AR213" i="2"/>
  <c r="AS213" i="2"/>
  <c r="AL213" i="2"/>
  <c r="AT213" i="2"/>
  <c r="AM213" i="2"/>
  <c r="AU213" i="2"/>
  <c r="AO213" i="2"/>
  <c r="AW213" i="2"/>
  <c r="AN213" i="2"/>
  <c r="AP213" i="2"/>
  <c r="AV213" i="2"/>
  <c r="AX213" i="2"/>
  <c r="AQ205" i="2"/>
  <c r="AY205" i="2"/>
  <c r="AR205" i="2"/>
  <c r="AS205" i="2"/>
  <c r="AL205" i="2"/>
  <c r="AT205" i="2"/>
  <c r="AM205" i="2"/>
  <c r="AU205" i="2"/>
  <c r="AO205" i="2"/>
  <c r="AW205" i="2"/>
  <c r="AV205" i="2"/>
  <c r="AX205" i="2"/>
  <c r="AN205" i="2"/>
  <c r="AP205" i="2"/>
  <c r="AQ197" i="2"/>
  <c r="AY197" i="2"/>
  <c r="AR197" i="2"/>
  <c r="AS197" i="2"/>
  <c r="AL197" i="2"/>
  <c r="AT197" i="2"/>
  <c r="AM197" i="2"/>
  <c r="AU197" i="2"/>
  <c r="AO197" i="2"/>
  <c r="AW197" i="2"/>
  <c r="AN197" i="2"/>
  <c r="AP197" i="2"/>
  <c r="AV197" i="2"/>
  <c r="AX197" i="2"/>
  <c r="AQ189" i="2"/>
  <c r="AY189" i="2"/>
  <c r="AR189" i="2"/>
  <c r="AS189" i="2"/>
  <c r="AL189" i="2"/>
  <c r="AT189" i="2"/>
  <c r="AM189" i="2"/>
  <c r="AU189" i="2"/>
  <c r="AO189" i="2"/>
  <c r="AW189" i="2"/>
  <c r="AV189" i="2"/>
  <c r="AX189" i="2"/>
  <c r="AN189" i="2"/>
  <c r="AP189" i="2"/>
  <c r="AQ181" i="2"/>
  <c r="AY181" i="2"/>
  <c r="AR181" i="2"/>
  <c r="AS181" i="2"/>
  <c r="AL181" i="2"/>
  <c r="AT181" i="2"/>
  <c r="AM181" i="2"/>
  <c r="AU181" i="2"/>
  <c r="AO181" i="2"/>
  <c r="AW181" i="2"/>
  <c r="AN181" i="2"/>
  <c r="AP181" i="2"/>
  <c r="AV181" i="2"/>
  <c r="AX181" i="2"/>
  <c r="AQ173" i="2"/>
  <c r="AY173" i="2"/>
  <c r="AR173" i="2"/>
  <c r="AS173" i="2"/>
  <c r="AL173" i="2"/>
  <c r="AT173" i="2"/>
  <c r="AM173" i="2"/>
  <c r="AU173" i="2"/>
  <c r="AO173" i="2"/>
  <c r="AW173" i="2"/>
  <c r="AV173" i="2"/>
  <c r="AX173" i="2"/>
  <c r="AN173" i="2"/>
  <c r="AP173" i="2"/>
  <c r="AQ165" i="2"/>
  <c r="AY165" i="2"/>
  <c r="AR165" i="2"/>
  <c r="AS165" i="2"/>
  <c r="AL165" i="2"/>
  <c r="AT165" i="2"/>
  <c r="AM165" i="2"/>
  <c r="AU165" i="2"/>
  <c r="AO165" i="2"/>
  <c r="AW165" i="2"/>
  <c r="AN165" i="2"/>
  <c r="AP165" i="2"/>
  <c r="AV165" i="2"/>
  <c r="AX165" i="2"/>
  <c r="AQ157" i="2"/>
  <c r="AY157" i="2"/>
  <c r="AR157" i="2"/>
  <c r="AS157" i="2"/>
  <c r="AL157" i="2"/>
  <c r="AT157" i="2"/>
  <c r="AM157" i="2"/>
  <c r="AU157" i="2"/>
  <c r="AO157" i="2"/>
  <c r="AW157" i="2"/>
  <c r="AV157" i="2"/>
  <c r="AX157" i="2"/>
  <c r="AN157" i="2"/>
  <c r="AP157" i="2"/>
  <c r="AQ149" i="2"/>
  <c r="AY149" i="2"/>
  <c r="AR149" i="2"/>
  <c r="AS149" i="2"/>
  <c r="AL149" i="2"/>
  <c r="AT149" i="2"/>
  <c r="AM149" i="2"/>
  <c r="AU149" i="2"/>
  <c r="AO149" i="2"/>
  <c r="AW149" i="2"/>
  <c r="AN149" i="2"/>
  <c r="AP149" i="2"/>
  <c r="AV149" i="2"/>
  <c r="AX149" i="2"/>
  <c r="AR141" i="2"/>
  <c r="AS141" i="2"/>
  <c r="AL141" i="2"/>
  <c r="AT141" i="2"/>
  <c r="AM141" i="2"/>
  <c r="AU141" i="2"/>
  <c r="AN141" i="2"/>
  <c r="AV141" i="2"/>
  <c r="AO141" i="2"/>
  <c r="AW141" i="2"/>
  <c r="AX141" i="2"/>
  <c r="AY141" i="2"/>
  <c r="AP141" i="2"/>
  <c r="AQ141" i="2"/>
  <c r="AR133" i="2"/>
  <c r="AS133" i="2"/>
  <c r="AL133" i="2"/>
  <c r="AT133" i="2"/>
  <c r="AM133" i="2"/>
  <c r="AU133" i="2"/>
  <c r="AN133" i="2"/>
  <c r="AV133" i="2"/>
  <c r="AO133" i="2"/>
  <c r="AW133" i="2"/>
  <c r="AP133" i="2"/>
  <c r="AQ133" i="2"/>
  <c r="AX133" i="2"/>
  <c r="AY133" i="2"/>
  <c r="AR125" i="2"/>
  <c r="AS125" i="2"/>
  <c r="AL125" i="2"/>
  <c r="AT125" i="2"/>
  <c r="AM125" i="2"/>
  <c r="AU125" i="2"/>
  <c r="AN125" i="2"/>
  <c r="AV125" i="2"/>
  <c r="AO125" i="2"/>
  <c r="AW125" i="2"/>
  <c r="AX125" i="2"/>
  <c r="AY125" i="2"/>
  <c r="AP125" i="2"/>
  <c r="AQ125" i="2"/>
  <c r="AS117" i="2"/>
  <c r="AN117" i="2"/>
  <c r="AV117" i="2"/>
  <c r="AO117" i="2"/>
  <c r="AW117" i="2"/>
  <c r="AQ117" i="2"/>
  <c r="AY117" i="2"/>
  <c r="AP117" i="2"/>
  <c r="AR117" i="2"/>
  <c r="AT117" i="2"/>
  <c r="AU117" i="2"/>
  <c r="AX117" i="2"/>
  <c r="AL117" i="2"/>
  <c r="AM117" i="2"/>
  <c r="AS109" i="2"/>
  <c r="AN109" i="2"/>
  <c r="AV109" i="2"/>
  <c r="AO109" i="2"/>
  <c r="AW109" i="2"/>
  <c r="AQ109" i="2"/>
  <c r="AY109" i="2"/>
  <c r="AP109" i="2"/>
  <c r="AR109" i="2"/>
  <c r="AT109" i="2"/>
  <c r="AU109" i="2"/>
  <c r="AX109" i="2"/>
  <c r="AL109" i="2"/>
  <c r="AM109" i="2"/>
  <c r="AS101" i="2"/>
  <c r="AN101" i="2"/>
  <c r="AV101" i="2"/>
  <c r="AO101" i="2"/>
  <c r="AW101" i="2"/>
  <c r="AQ101" i="2"/>
  <c r="AY101" i="2"/>
  <c r="AP101" i="2"/>
  <c r="AR101" i="2"/>
  <c r="AT101" i="2"/>
  <c r="AU101" i="2"/>
  <c r="AX101" i="2"/>
  <c r="AL101" i="2"/>
  <c r="AM101" i="2"/>
  <c r="AS93" i="2"/>
  <c r="AN93" i="2"/>
  <c r="AV93" i="2"/>
  <c r="AO93" i="2"/>
  <c r="AW93" i="2"/>
  <c r="AQ93" i="2"/>
  <c r="AY93" i="2"/>
  <c r="AP93" i="2"/>
  <c r="AR93" i="2"/>
  <c r="AT93" i="2"/>
  <c r="AU93" i="2"/>
  <c r="AX93" i="2"/>
  <c r="AL93" i="2"/>
  <c r="AM93" i="2"/>
  <c r="AQ85" i="2"/>
  <c r="AS85" i="2"/>
  <c r="AL85" i="2"/>
  <c r="AT85" i="2"/>
  <c r="AO85" i="2"/>
  <c r="AW85" i="2"/>
  <c r="AN85" i="2"/>
  <c r="AU85" i="2"/>
  <c r="AV85" i="2"/>
  <c r="AY85" i="2"/>
  <c r="AM85" i="2"/>
  <c r="AP85" i="2"/>
  <c r="AR85" i="2"/>
  <c r="AX85" i="2"/>
  <c r="AQ77" i="2"/>
  <c r="AY77" i="2"/>
  <c r="AR77" i="2"/>
  <c r="AS77" i="2"/>
  <c r="AL77" i="2"/>
  <c r="AT77" i="2"/>
  <c r="AM77" i="2"/>
  <c r="AU77" i="2"/>
  <c r="AO77" i="2"/>
  <c r="AW77" i="2"/>
  <c r="AP77" i="2"/>
  <c r="AV77" i="2"/>
  <c r="AN77" i="2"/>
  <c r="AX77" i="2"/>
  <c r="AQ69" i="2"/>
  <c r="AY69" i="2"/>
  <c r="AR69" i="2"/>
  <c r="AS69" i="2"/>
  <c r="AL69" i="2"/>
  <c r="AT69" i="2"/>
  <c r="AM69" i="2"/>
  <c r="AU69" i="2"/>
  <c r="AO69" i="2"/>
  <c r="AW69" i="2"/>
  <c r="AV69" i="2"/>
  <c r="AX69" i="2"/>
  <c r="AN69" i="2"/>
  <c r="AP69" i="2"/>
  <c r="AQ61" i="2"/>
  <c r="AY61" i="2"/>
  <c r="AR61" i="2"/>
  <c r="AS61" i="2"/>
  <c r="AL61" i="2"/>
  <c r="AT61" i="2"/>
  <c r="AM61" i="2"/>
  <c r="AU61" i="2"/>
  <c r="AO61" i="2"/>
  <c r="AW61" i="2"/>
  <c r="AN61" i="2"/>
  <c r="AP61" i="2"/>
  <c r="AV61" i="2"/>
  <c r="AX61" i="2"/>
  <c r="AQ53" i="2"/>
  <c r="AY53" i="2"/>
  <c r="AR53" i="2"/>
  <c r="AS53" i="2"/>
  <c r="AL53" i="2"/>
  <c r="AT53" i="2"/>
  <c r="AM53" i="2"/>
  <c r="AU53" i="2"/>
  <c r="AO53" i="2"/>
  <c r="AW53" i="2"/>
  <c r="AV53" i="2"/>
  <c r="AX53" i="2"/>
  <c r="AN53" i="2"/>
  <c r="AP53" i="2"/>
  <c r="AO45" i="2"/>
  <c r="AW45" i="2"/>
  <c r="AQ45" i="2"/>
  <c r="AY45" i="2"/>
  <c r="AR45" i="2"/>
  <c r="AS45" i="2"/>
  <c r="AL45" i="2"/>
  <c r="AT45" i="2"/>
  <c r="AU45" i="2"/>
  <c r="AV45" i="2"/>
  <c r="AX45" i="2"/>
  <c r="AN45" i="2"/>
  <c r="AM45" i="2"/>
  <c r="AP45" i="2"/>
  <c r="AO37" i="2"/>
  <c r="AW37" i="2"/>
  <c r="AQ37" i="2"/>
  <c r="AY37" i="2"/>
  <c r="AR37" i="2"/>
  <c r="AS37" i="2"/>
  <c r="AL37" i="2"/>
  <c r="AT37" i="2"/>
  <c r="AX37" i="2"/>
  <c r="AM37" i="2"/>
  <c r="AN37" i="2"/>
  <c r="AU37" i="2"/>
  <c r="AP37" i="2"/>
  <c r="AV37" i="2"/>
  <c r="AO29" i="2"/>
  <c r="AW29" i="2"/>
  <c r="AQ29" i="2"/>
  <c r="AY29" i="2"/>
  <c r="AR29" i="2"/>
  <c r="AS29" i="2"/>
  <c r="AL29" i="2"/>
  <c r="AT29" i="2"/>
  <c r="AM29" i="2"/>
  <c r="AN29" i="2"/>
  <c r="AP29" i="2"/>
  <c r="AU29" i="2"/>
  <c r="AX29" i="2"/>
  <c r="AV29" i="2"/>
  <c r="AO21" i="2"/>
  <c r="AW21" i="2"/>
  <c r="AQ21" i="2"/>
  <c r="AY21" i="2"/>
  <c r="AR21" i="2"/>
  <c r="AS21" i="2"/>
  <c r="AL21" i="2"/>
  <c r="AT21" i="2"/>
  <c r="AN21" i="2"/>
  <c r="AP21" i="2"/>
  <c r="AU21" i="2"/>
  <c r="AV21" i="2"/>
  <c r="AX21" i="2"/>
  <c r="AM21" i="2"/>
  <c r="AN13" i="2"/>
  <c r="AV13" i="2"/>
  <c r="AO13" i="2"/>
  <c r="AW13" i="2"/>
  <c r="AP13" i="2"/>
  <c r="AX13" i="2"/>
  <c r="AQ13" i="2"/>
  <c r="AY13" i="2"/>
  <c r="AR13" i="2"/>
  <c r="AS13" i="2"/>
  <c r="AL13" i="2"/>
  <c r="AT13" i="2"/>
  <c r="AU13" i="2"/>
  <c r="AM13" i="2"/>
  <c r="AN5" i="2"/>
  <c r="AV5" i="2"/>
  <c r="AO5" i="2"/>
  <c r="AW5" i="2"/>
  <c r="AP5" i="2"/>
  <c r="AX5" i="2"/>
  <c r="AQ5" i="2"/>
  <c r="AY5" i="2"/>
  <c r="AR5" i="2"/>
  <c r="AS5" i="2"/>
  <c r="AL5" i="2"/>
  <c r="AT5" i="2"/>
  <c r="AM5" i="2"/>
  <c r="AU5" i="2"/>
  <c r="AG3" i="2"/>
  <c r="Y3" i="2"/>
  <c r="AG272" i="2"/>
  <c r="AK271" i="2"/>
  <c r="Z271" i="2"/>
  <c r="AC270" i="2"/>
  <c r="AG266" i="2"/>
  <c r="Y265" i="2"/>
  <c r="AG263" i="2"/>
  <c r="AI259" i="2"/>
  <c r="AA255" i="2"/>
  <c r="AK252" i="2"/>
  <c r="AG250" i="2"/>
  <c r="AI243" i="2"/>
  <c r="AA239" i="2"/>
  <c r="AK236" i="2"/>
  <c r="AG234" i="2"/>
  <c r="AC232" i="2"/>
  <c r="AI227" i="2"/>
  <c r="AA223" i="2"/>
  <c r="AK220" i="2"/>
  <c r="AG218" i="2"/>
  <c r="AF215" i="2"/>
  <c r="AD206" i="2"/>
  <c r="AF183" i="2"/>
  <c r="AD174" i="2"/>
  <c r="AH160" i="2"/>
  <c r="AF151" i="2"/>
  <c r="AD248" i="2"/>
  <c r="AE248" i="2"/>
  <c r="X248" i="2"/>
  <c r="AF248" i="2"/>
  <c r="Y248" i="2"/>
  <c r="AG248" i="2"/>
  <c r="Z248" i="2"/>
  <c r="AH248" i="2"/>
  <c r="AB248" i="2"/>
  <c r="AJ248" i="2"/>
  <c r="AD240" i="2"/>
  <c r="AE240" i="2"/>
  <c r="X240" i="2"/>
  <c r="AF240" i="2"/>
  <c r="Y240" i="2"/>
  <c r="AG240" i="2"/>
  <c r="Z240" i="2"/>
  <c r="AH240" i="2"/>
  <c r="AB240" i="2"/>
  <c r="AJ240" i="2"/>
  <c r="AA152" i="2"/>
  <c r="AI152" i="2"/>
  <c r="AB152" i="2"/>
  <c r="AJ152" i="2"/>
  <c r="AD152" i="2"/>
  <c r="Y152" i="2"/>
  <c r="AG152" i="2"/>
  <c r="AK152" i="2"/>
  <c r="X152" i="2"/>
  <c r="Z152" i="2"/>
  <c r="AC152" i="2"/>
  <c r="AF152" i="2"/>
  <c r="X88" i="2"/>
  <c r="AF88" i="2"/>
  <c r="Y88" i="2"/>
  <c r="AG88" i="2"/>
  <c r="Z88" i="2"/>
  <c r="AH88" i="2"/>
  <c r="AA88" i="2"/>
  <c r="AI88" i="2"/>
  <c r="AB88" i="2"/>
  <c r="AJ88" i="2"/>
  <c r="AD88" i="2"/>
  <c r="AC88" i="2"/>
  <c r="AE88" i="2"/>
  <c r="AK88" i="2"/>
  <c r="AE40" i="2"/>
  <c r="X40" i="2"/>
  <c r="AF40" i="2"/>
  <c r="Y40" i="2"/>
  <c r="AG40" i="2"/>
  <c r="Z40" i="2"/>
  <c r="AH40" i="2"/>
  <c r="AA40" i="2"/>
  <c r="AI40" i="2"/>
  <c r="AC40" i="2"/>
  <c r="AK40" i="2"/>
  <c r="AD40" i="2"/>
  <c r="AB40" i="2"/>
  <c r="AJ40" i="2"/>
  <c r="AS238" i="2"/>
  <c r="AL238" i="2"/>
  <c r="AT238" i="2"/>
  <c r="AM238" i="2"/>
  <c r="AU238" i="2"/>
  <c r="AN238" i="2"/>
  <c r="AV238" i="2"/>
  <c r="AO238" i="2"/>
  <c r="AW238" i="2"/>
  <c r="AQ238" i="2"/>
  <c r="AY238" i="2"/>
  <c r="AP238" i="2"/>
  <c r="AR238" i="2"/>
  <c r="AX238" i="2"/>
  <c r="AS174" i="2"/>
  <c r="AL174" i="2"/>
  <c r="AT174" i="2"/>
  <c r="AM174" i="2"/>
  <c r="AU174" i="2"/>
  <c r="AN174" i="2"/>
  <c r="AV174" i="2"/>
  <c r="AO174" i="2"/>
  <c r="AW174" i="2"/>
  <c r="AQ174" i="2"/>
  <c r="AY174" i="2"/>
  <c r="AP174" i="2"/>
  <c r="AR174" i="2"/>
  <c r="AX174" i="2"/>
  <c r="AS166" i="2"/>
  <c r="AL166" i="2"/>
  <c r="AT166" i="2"/>
  <c r="AM166" i="2"/>
  <c r="AU166" i="2"/>
  <c r="AN166" i="2"/>
  <c r="AV166" i="2"/>
  <c r="AO166" i="2"/>
  <c r="AW166" i="2"/>
  <c r="AQ166" i="2"/>
  <c r="AY166" i="2"/>
  <c r="AX166" i="2"/>
  <c r="AP166" i="2"/>
  <c r="AR166" i="2"/>
  <c r="AL142" i="2"/>
  <c r="AT142" i="2"/>
  <c r="AM142" i="2"/>
  <c r="AU142" i="2"/>
  <c r="AN142" i="2"/>
  <c r="AV142" i="2"/>
  <c r="AO142" i="2"/>
  <c r="AW142" i="2"/>
  <c r="AP142" i="2"/>
  <c r="AX142" i="2"/>
  <c r="AQ142" i="2"/>
  <c r="AY142" i="2"/>
  <c r="AR142" i="2"/>
  <c r="AS142" i="2"/>
  <c r="AL134" i="2"/>
  <c r="AT134" i="2"/>
  <c r="AM134" i="2"/>
  <c r="AU134" i="2"/>
  <c r="AN134" i="2"/>
  <c r="AV134" i="2"/>
  <c r="AO134" i="2"/>
  <c r="AW134" i="2"/>
  <c r="AP134" i="2"/>
  <c r="AX134" i="2"/>
  <c r="AQ134" i="2"/>
  <c r="AY134" i="2"/>
  <c r="AR134" i="2"/>
  <c r="AS134" i="2"/>
  <c r="Z254" i="2"/>
  <c r="AH254" i="2"/>
  <c r="AA254" i="2"/>
  <c r="AI254" i="2"/>
  <c r="AB254" i="2"/>
  <c r="AJ254" i="2"/>
  <c r="AC254" i="2"/>
  <c r="AK254" i="2"/>
  <c r="AD254" i="2"/>
  <c r="X254" i="2"/>
  <c r="AF254" i="2"/>
  <c r="AE190" i="2"/>
  <c r="X190" i="2"/>
  <c r="AF190" i="2"/>
  <c r="Z190" i="2"/>
  <c r="AH190" i="2"/>
  <c r="AC190" i="2"/>
  <c r="AK190" i="2"/>
  <c r="AG190" i="2"/>
  <c r="AI190" i="2"/>
  <c r="AJ190" i="2"/>
  <c r="Y190" i="2"/>
  <c r="AB190" i="2"/>
  <c r="AE150" i="2"/>
  <c r="X150" i="2"/>
  <c r="AF150" i="2"/>
  <c r="Z150" i="2"/>
  <c r="AH150" i="2"/>
  <c r="AC150" i="2"/>
  <c r="AK150" i="2"/>
  <c r="AG150" i="2"/>
  <c r="AI150" i="2"/>
  <c r="AJ150" i="2"/>
  <c r="Y150" i="2"/>
  <c r="AB150" i="2"/>
  <c r="AB126" i="2"/>
  <c r="AJ126" i="2"/>
  <c r="AC126" i="2"/>
  <c r="AK126" i="2"/>
  <c r="AD126" i="2"/>
  <c r="AE126" i="2"/>
  <c r="X126" i="2"/>
  <c r="AF126" i="2"/>
  <c r="Z126" i="2"/>
  <c r="AH126" i="2"/>
  <c r="AA126" i="2"/>
  <c r="AG126" i="2"/>
  <c r="Y126" i="2"/>
  <c r="AB94" i="2"/>
  <c r="AJ94" i="2"/>
  <c r="AC94" i="2"/>
  <c r="AK94" i="2"/>
  <c r="AD94" i="2"/>
  <c r="AE94" i="2"/>
  <c r="X94" i="2"/>
  <c r="AF94" i="2"/>
  <c r="Z94" i="2"/>
  <c r="AH94" i="2"/>
  <c r="AA94" i="2"/>
  <c r="AG94" i="2"/>
  <c r="Y94" i="2"/>
  <c r="AI94" i="2"/>
  <c r="AB86" i="2"/>
  <c r="AJ86" i="2"/>
  <c r="AC86" i="2"/>
  <c r="AK86" i="2"/>
  <c r="AD86" i="2"/>
  <c r="AE86" i="2"/>
  <c r="X86" i="2"/>
  <c r="AF86" i="2"/>
  <c r="Z86" i="2"/>
  <c r="AH86" i="2"/>
  <c r="Y86" i="2"/>
  <c r="AA86" i="2"/>
  <c r="AI86" i="2"/>
  <c r="AG86" i="2"/>
  <c r="AA46" i="2"/>
  <c r="AI46" i="2"/>
  <c r="AB46" i="2"/>
  <c r="AJ46" i="2"/>
  <c r="AC46" i="2"/>
  <c r="AK46" i="2"/>
  <c r="AD46" i="2"/>
  <c r="AE46" i="2"/>
  <c r="Y46" i="2"/>
  <c r="AG46" i="2"/>
  <c r="X46" i="2"/>
  <c r="Z46" i="2"/>
  <c r="AF46" i="2"/>
  <c r="AH46" i="2"/>
  <c r="AA38" i="2"/>
  <c r="AI38" i="2"/>
  <c r="AB38" i="2"/>
  <c r="AJ38" i="2"/>
  <c r="AC38" i="2"/>
  <c r="AK38" i="2"/>
  <c r="AD38" i="2"/>
  <c r="AE38" i="2"/>
  <c r="Y38" i="2"/>
  <c r="AG38" i="2"/>
  <c r="AH38" i="2"/>
  <c r="Z38" i="2"/>
  <c r="X38" i="2"/>
  <c r="AF38" i="2"/>
  <c r="AO236" i="2"/>
  <c r="AW236" i="2"/>
  <c r="AP236" i="2"/>
  <c r="AX236" i="2"/>
  <c r="AQ236" i="2"/>
  <c r="AY236" i="2"/>
  <c r="AR236" i="2"/>
  <c r="AS236" i="2"/>
  <c r="AM236" i="2"/>
  <c r="AU236" i="2"/>
  <c r="AL236" i="2"/>
  <c r="AN236" i="2"/>
  <c r="AT236" i="2"/>
  <c r="AV236" i="2"/>
  <c r="AO180" i="2"/>
  <c r="AW180" i="2"/>
  <c r="AP180" i="2"/>
  <c r="AX180" i="2"/>
  <c r="AQ180" i="2"/>
  <c r="AY180" i="2"/>
  <c r="AR180" i="2"/>
  <c r="AS180" i="2"/>
  <c r="AM180" i="2"/>
  <c r="AU180" i="2"/>
  <c r="AT180" i="2"/>
  <c r="AV180" i="2"/>
  <c r="AL180" i="2"/>
  <c r="AN180" i="2"/>
  <c r="AP124" i="2"/>
  <c r="AX124" i="2"/>
  <c r="AQ124" i="2"/>
  <c r="AY124" i="2"/>
  <c r="AR124" i="2"/>
  <c r="AS124" i="2"/>
  <c r="AL124" i="2"/>
  <c r="AT124" i="2"/>
  <c r="AM124" i="2"/>
  <c r="AU124" i="2"/>
  <c r="AN124" i="2"/>
  <c r="AO124" i="2"/>
  <c r="AV124" i="2"/>
  <c r="AW124" i="2"/>
  <c r="AO76" i="2"/>
  <c r="AW76" i="2"/>
  <c r="AP76" i="2"/>
  <c r="AX76" i="2"/>
  <c r="AQ76" i="2"/>
  <c r="AY76" i="2"/>
  <c r="AR76" i="2"/>
  <c r="AS76" i="2"/>
  <c r="AM76" i="2"/>
  <c r="AU76" i="2"/>
  <c r="AT76" i="2"/>
  <c r="AL76" i="2"/>
  <c r="AN76" i="2"/>
  <c r="AV76" i="2"/>
  <c r="AM36" i="2"/>
  <c r="AU36" i="2"/>
  <c r="AO36" i="2"/>
  <c r="AW36" i="2"/>
  <c r="AP36" i="2"/>
  <c r="AX36" i="2"/>
  <c r="AQ36" i="2"/>
  <c r="AY36" i="2"/>
  <c r="AR36" i="2"/>
  <c r="AS36" i="2"/>
  <c r="AT36" i="2"/>
  <c r="AV36" i="2"/>
  <c r="AL36" i="2"/>
  <c r="AN36" i="2"/>
  <c r="AL4" i="2"/>
  <c r="AT4" i="2"/>
  <c r="AM4" i="2"/>
  <c r="AU4" i="2"/>
  <c r="AN4" i="2"/>
  <c r="AV4" i="2"/>
  <c r="AO4" i="2"/>
  <c r="AW4" i="2"/>
  <c r="AP4" i="2"/>
  <c r="AX4" i="2"/>
  <c r="AQ4" i="2"/>
  <c r="AY4" i="2"/>
  <c r="AR4" i="2"/>
  <c r="AS4" i="2"/>
  <c r="AF272" i="2"/>
  <c r="X269" i="2"/>
  <c r="AF269" i="2"/>
  <c r="Z269" i="2"/>
  <c r="AA269" i="2"/>
  <c r="AI269" i="2"/>
  <c r="AB269" i="2"/>
  <c r="AJ269" i="2"/>
  <c r="X261" i="2"/>
  <c r="AF261" i="2"/>
  <c r="Y261" i="2"/>
  <c r="AG261" i="2"/>
  <c r="Z261" i="2"/>
  <c r="AH261" i="2"/>
  <c r="AA261" i="2"/>
  <c r="AI261" i="2"/>
  <c r="AB261" i="2"/>
  <c r="AJ261" i="2"/>
  <c r="AD261" i="2"/>
  <c r="X253" i="2"/>
  <c r="AF253" i="2"/>
  <c r="Y253" i="2"/>
  <c r="AG253" i="2"/>
  <c r="Z253" i="2"/>
  <c r="AH253" i="2"/>
  <c r="AA253" i="2"/>
  <c r="AI253" i="2"/>
  <c r="AB253" i="2"/>
  <c r="AJ253" i="2"/>
  <c r="AD253" i="2"/>
  <c r="X245" i="2"/>
  <c r="AF245" i="2"/>
  <c r="Y245" i="2"/>
  <c r="AG245" i="2"/>
  <c r="Z245" i="2"/>
  <c r="AH245" i="2"/>
  <c r="AA245" i="2"/>
  <c r="AI245" i="2"/>
  <c r="AB245" i="2"/>
  <c r="AJ245" i="2"/>
  <c r="AD245" i="2"/>
  <c r="X237" i="2"/>
  <c r="AF237" i="2"/>
  <c r="Y237" i="2"/>
  <c r="AG237" i="2"/>
  <c r="Z237" i="2"/>
  <c r="AH237" i="2"/>
  <c r="AA237" i="2"/>
  <c r="AI237" i="2"/>
  <c r="AB237" i="2"/>
  <c r="AJ237" i="2"/>
  <c r="AD237" i="2"/>
  <c r="X229" i="2"/>
  <c r="AF229" i="2"/>
  <c r="Y229" i="2"/>
  <c r="AG229" i="2"/>
  <c r="Z229" i="2"/>
  <c r="AH229" i="2"/>
  <c r="AA229" i="2"/>
  <c r="AI229" i="2"/>
  <c r="AB229" i="2"/>
  <c r="AJ229" i="2"/>
  <c r="AD229" i="2"/>
  <c r="X221" i="2"/>
  <c r="AF221" i="2"/>
  <c r="Y221" i="2"/>
  <c r="AG221" i="2"/>
  <c r="Z221" i="2"/>
  <c r="AH221" i="2"/>
  <c r="AA221" i="2"/>
  <c r="AI221" i="2"/>
  <c r="AB221" i="2"/>
  <c r="AJ221" i="2"/>
  <c r="AD221" i="2"/>
  <c r="AC213" i="2"/>
  <c r="AK213" i="2"/>
  <c r="AD213" i="2"/>
  <c r="X213" i="2"/>
  <c r="AF213" i="2"/>
  <c r="AA213" i="2"/>
  <c r="AI213" i="2"/>
  <c r="AE213" i="2"/>
  <c r="AG213" i="2"/>
  <c r="AH213" i="2"/>
  <c r="AJ213" i="2"/>
  <c r="Z213" i="2"/>
  <c r="AC205" i="2"/>
  <c r="AK205" i="2"/>
  <c r="AD205" i="2"/>
  <c r="X205" i="2"/>
  <c r="AF205" i="2"/>
  <c r="AA205" i="2"/>
  <c r="AI205" i="2"/>
  <c r="AE205" i="2"/>
  <c r="AG205" i="2"/>
  <c r="AH205" i="2"/>
  <c r="AJ205" i="2"/>
  <c r="Z205" i="2"/>
  <c r="AC197" i="2"/>
  <c r="AK197" i="2"/>
  <c r="AD197" i="2"/>
  <c r="X197" i="2"/>
  <c r="AF197" i="2"/>
  <c r="AA197" i="2"/>
  <c r="AI197" i="2"/>
  <c r="AE197" i="2"/>
  <c r="AG197" i="2"/>
  <c r="AH197" i="2"/>
  <c r="AJ197" i="2"/>
  <c r="Z197" i="2"/>
  <c r="AC189" i="2"/>
  <c r="AK189" i="2"/>
  <c r="AD189" i="2"/>
  <c r="X189" i="2"/>
  <c r="AF189" i="2"/>
  <c r="AA189" i="2"/>
  <c r="AI189" i="2"/>
  <c r="AE189" i="2"/>
  <c r="AG189" i="2"/>
  <c r="AH189" i="2"/>
  <c r="AJ189" i="2"/>
  <c r="Z189" i="2"/>
  <c r="AC181" i="2"/>
  <c r="AK181" i="2"/>
  <c r="AD181" i="2"/>
  <c r="X181" i="2"/>
  <c r="AF181" i="2"/>
  <c r="AA181" i="2"/>
  <c r="AI181" i="2"/>
  <c r="AE181" i="2"/>
  <c r="AG181" i="2"/>
  <c r="AH181" i="2"/>
  <c r="AJ181" i="2"/>
  <c r="Z181" i="2"/>
  <c r="AC173" i="2"/>
  <c r="AK173" i="2"/>
  <c r="AD173" i="2"/>
  <c r="X173" i="2"/>
  <c r="AF173" i="2"/>
  <c r="AA173" i="2"/>
  <c r="AI173" i="2"/>
  <c r="AE173" i="2"/>
  <c r="AG173" i="2"/>
  <c r="AH173" i="2"/>
  <c r="AJ173" i="2"/>
  <c r="Z173" i="2"/>
  <c r="AC165" i="2"/>
  <c r="AK165" i="2"/>
  <c r="AD165" i="2"/>
  <c r="X165" i="2"/>
  <c r="AF165" i="2"/>
  <c r="AA165" i="2"/>
  <c r="AI165" i="2"/>
  <c r="AE165" i="2"/>
  <c r="AG165" i="2"/>
  <c r="AH165" i="2"/>
  <c r="AJ165" i="2"/>
  <c r="Z165" i="2"/>
  <c r="AC157" i="2"/>
  <c r="AK157" i="2"/>
  <c r="AD157" i="2"/>
  <c r="X157" i="2"/>
  <c r="AF157" i="2"/>
  <c r="AA157" i="2"/>
  <c r="AI157" i="2"/>
  <c r="AE157" i="2"/>
  <c r="AG157" i="2"/>
  <c r="AH157" i="2"/>
  <c r="AJ157" i="2"/>
  <c r="Z157" i="2"/>
  <c r="AC149" i="2"/>
  <c r="AK149" i="2"/>
  <c r="AD149" i="2"/>
  <c r="X149" i="2"/>
  <c r="AF149" i="2"/>
  <c r="AA149" i="2"/>
  <c r="AI149" i="2"/>
  <c r="AE149" i="2"/>
  <c r="AG149" i="2"/>
  <c r="AH149" i="2"/>
  <c r="AJ149" i="2"/>
  <c r="Z149" i="2"/>
  <c r="Z141" i="2"/>
  <c r="AH141" i="2"/>
  <c r="AA141" i="2"/>
  <c r="AI141" i="2"/>
  <c r="AB141" i="2"/>
  <c r="AJ141" i="2"/>
  <c r="AC141" i="2"/>
  <c r="AK141" i="2"/>
  <c r="AD141" i="2"/>
  <c r="X141" i="2"/>
  <c r="AF141" i="2"/>
  <c r="AG141" i="2"/>
  <c r="AE141" i="2"/>
  <c r="Z133" i="2"/>
  <c r="AH133" i="2"/>
  <c r="AA133" i="2"/>
  <c r="AI133" i="2"/>
  <c r="AB133" i="2"/>
  <c r="AJ133" i="2"/>
  <c r="AC133" i="2"/>
  <c r="AK133" i="2"/>
  <c r="AD133" i="2"/>
  <c r="X133" i="2"/>
  <c r="AF133" i="2"/>
  <c r="Y133" i="2"/>
  <c r="AE133" i="2"/>
  <c r="AG133" i="2"/>
  <c r="Z125" i="2"/>
  <c r="AH125" i="2"/>
  <c r="AA125" i="2"/>
  <c r="AI125" i="2"/>
  <c r="AB125" i="2"/>
  <c r="AJ125" i="2"/>
  <c r="AC125" i="2"/>
  <c r="AK125" i="2"/>
  <c r="AD125" i="2"/>
  <c r="X125" i="2"/>
  <c r="AF125" i="2"/>
  <c r="Y125" i="2"/>
  <c r="AG125" i="2"/>
  <c r="AE125" i="2"/>
  <c r="Z117" i="2"/>
  <c r="AH117" i="2"/>
  <c r="AA117" i="2"/>
  <c r="AI117" i="2"/>
  <c r="AB117" i="2"/>
  <c r="AJ117" i="2"/>
  <c r="AC117" i="2"/>
  <c r="AK117" i="2"/>
  <c r="AD117" i="2"/>
  <c r="X117" i="2"/>
  <c r="AF117" i="2"/>
  <c r="Y117" i="2"/>
  <c r="AE117" i="2"/>
  <c r="AG117" i="2"/>
  <c r="Z109" i="2"/>
  <c r="AH109" i="2"/>
  <c r="AA109" i="2"/>
  <c r="AI109" i="2"/>
  <c r="AB109" i="2"/>
  <c r="AJ109" i="2"/>
  <c r="AC109" i="2"/>
  <c r="AK109" i="2"/>
  <c r="AD109" i="2"/>
  <c r="X109" i="2"/>
  <c r="AF109" i="2"/>
  <c r="Y109" i="2"/>
  <c r="AG109" i="2"/>
  <c r="AE109" i="2"/>
  <c r="Z101" i="2"/>
  <c r="AH101" i="2"/>
  <c r="AA101" i="2"/>
  <c r="AI101" i="2"/>
  <c r="AB101" i="2"/>
  <c r="AJ101" i="2"/>
  <c r="AC101" i="2"/>
  <c r="AK101" i="2"/>
  <c r="AD101" i="2"/>
  <c r="X101" i="2"/>
  <c r="AF101" i="2"/>
  <c r="Y101" i="2"/>
  <c r="AE101" i="2"/>
  <c r="AG101" i="2"/>
  <c r="Z93" i="2"/>
  <c r="AH93" i="2"/>
  <c r="AA93" i="2"/>
  <c r="AI93" i="2"/>
  <c r="AB93" i="2"/>
  <c r="AJ93" i="2"/>
  <c r="AC93" i="2"/>
  <c r="AK93" i="2"/>
  <c r="AD93" i="2"/>
  <c r="X93" i="2"/>
  <c r="AF93" i="2"/>
  <c r="Y93" i="2"/>
  <c r="AG93" i="2"/>
  <c r="AE93" i="2"/>
  <c r="Z85" i="2"/>
  <c r="AH85" i="2"/>
  <c r="AA85" i="2"/>
  <c r="AI85" i="2"/>
  <c r="AB85" i="2"/>
  <c r="AJ85" i="2"/>
  <c r="AC85" i="2"/>
  <c r="AK85" i="2"/>
  <c r="AD85" i="2"/>
  <c r="X85" i="2"/>
  <c r="AF85" i="2"/>
  <c r="Y85" i="2"/>
  <c r="AE85" i="2"/>
  <c r="Z77" i="2"/>
  <c r="AH77" i="2"/>
  <c r="AA77" i="2"/>
  <c r="AI77" i="2"/>
  <c r="AB77" i="2"/>
  <c r="AJ77" i="2"/>
  <c r="AC77" i="2"/>
  <c r="AK77" i="2"/>
  <c r="AD77" i="2"/>
  <c r="X77" i="2"/>
  <c r="AF77" i="2"/>
  <c r="Y77" i="2"/>
  <c r="AG77" i="2"/>
  <c r="AE77" i="2"/>
  <c r="Y69" i="2"/>
  <c r="AG69" i="2"/>
  <c r="AA69" i="2"/>
  <c r="AI69" i="2"/>
  <c r="AB69" i="2"/>
  <c r="AJ69" i="2"/>
  <c r="AC69" i="2"/>
  <c r="AK69" i="2"/>
  <c r="AE69" i="2"/>
  <c r="AF69" i="2"/>
  <c r="AH69" i="2"/>
  <c r="Z69" i="2"/>
  <c r="AD69" i="2"/>
  <c r="Y61" i="2"/>
  <c r="AG61" i="2"/>
  <c r="Z61" i="2"/>
  <c r="AH61" i="2"/>
  <c r="AA61" i="2"/>
  <c r="AI61" i="2"/>
  <c r="AB61" i="2"/>
  <c r="AJ61" i="2"/>
  <c r="AC61" i="2"/>
  <c r="AK61" i="2"/>
  <c r="AE61" i="2"/>
  <c r="AF61" i="2"/>
  <c r="X61" i="2"/>
  <c r="AD61" i="2"/>
  <c r="Y53" i="2"/>
  <c r="AG53" i="2"/>
  <c r="Z53" i="2"/>
  <c r="AH53" i="2"/>
  <c r="AA53" i="2"/>
  <c r="AI53" i="2"/>
  <c r="AB53" i="2"/>
  <c r="AJ53" i="2"/>
  <c r="AC53" i="2"/>
  <c r="AK53" i="2"/>
  <c r="AE53" i="2"/>
  <c r="X53" i="2"/>
  <c r="AD53" i="2"/>
  <c r="AF53" i="2"/>
  <c r="Y45" i="2"/>
  <c r="AG45" i="2"/>
  <c r="Z45" i="2"/>
  <c r="AH45" i="2"/>
  <c r="AA45" i="2"/>
  <c r="AI45" i="2"/>
  <c r="AB45" i="2"/>
  <c r="AJ45" i="2"/>
  <c r="AC45" i="2"/>
  <c r="AK45" i="2"/>
  <c r="AE45" i="2"/>
  <c r="AF45" i="2"/>
  <c r="X45" i="2"/>
  <c r="AD45" i="2"/>
  <c r="Y37" i="2"/>
  <c r="AG37" i="2"/>
  <c r="Z37" i="2"/>
  <c r="AH37" i="2"/>
  <c r="AA37" i="2"/>
  <c r="AI37" i="2"/>
  <c r="AB37" i="2"/>
  <c r="AJ37" i="2"/>
  <c r="AC37" i="2"/>
  <c r="AK37" i="2"/>
  <c r="AE37" i="2"/>
  <c r="X37" i="2"/>
  <c r="AD37" i="2"/>
  <c r="AF37" i="2"/>
  <c r="Y29" i="2"/>
  <c r="AG29" i="2"/>
  <c r="Z29" i="2"/>
  <c r="AH29" i="2"/>
  <c r="AA29" i="2"/>
  <c r="AI29" i="2"/>
  <c r="AB29" i="2"/>
  <c r="AJ29" i="2"/>
  <c r="AC29" i="2"/>
  <c r="AK29" i="2"/>
  <c r="AE29" i="2"/>
  <c r="AF29" i="2"/>
  <c r="X29" i="2"/>
  <c r="AD29" i="2"/>
  <c r="Y21" i="2"/>
  <c r="AG21" i="2"/>
  <c r="Z21" i="2"/>
  <c r="AH21" i="2"/>
  <c r="AA21" i="2"/>
  <c r="AI21" i="2"/>
  <c r="AB21" i="2"/>
  <c r="AJ21" i="2"/>
  <c r="AC21" i="2"/>
  <c r="AK21" i="2"/>
  <c r="AE21" i="2"/>
  <c r="X21" i="2"/>
  <c r="AD21" i="2"/>
  <c r="AF21" i="2"/>
  <c r="Y13" i="2"/>
  <c r="AG13" i="2"/>
  <c r="Z13" i="2"/>
  <c r="AH13" i="2"/>
  <c r="AA13" i="2"/>
  <c r="AI13" i="2"/>
  <c r="AB13" i="2"/>
  <c r="AJ13" i="2"/>
  <c r="AC13" i="2"/>
  <c r="AK13" i="2"/>
  <c r="AE13" i="2"/>
  <c r="AF13" i="2"/>
  <c r="X13" i="2"/>
  <c r="AD13" i="2"/>
  <c r="Y5" i="2"/>
  <c r="AG5" i="2"/>
  <c r="Z5" i="2"/>
  <c r="AH5" i="2"/>
  <c r="AA5" i="2"/>
  <c r="AI5" i="2"/>
  <c r="AB5" i="2"/>
  <c r="AJ5" i="2"/>
  <c r="AC5" i="2"/>
  <c r="AK5" i="2"/>
  <c r="AE5" i="2"/>
  <c r="X5" i="2"/>
  <c r="AD5" i="2"/>
  <c r="AF5" i="2"/>
  <c r="AM267" i="2"/>
  <c r="AU267" i="2"/>
  <c r="AN267" i="2"/>
  <c r="AV267" i="2"/>
  <c r="AO267" i="2"/>
  <c r="AW267" i="2"/>
  <c r="AQ267" i="2"/>
  <c r="AY267" i="2"/>
  <c r="AS267" i="2"/>
  <c r="AL267" i="2"/>
  <c r="AP267" i="2"/>
  <c r="AR267" i="2"/>
  <c r="AT267" i="2"/>
  <c r="AX267" i="2"/>
  <c r="AM259" i="2"/>
  <c r="AU259" i="2"/>
  <c r="AN259" i="2"/>
  <c r="AV259" i="2"/>
  <c r="AO259" i="2"/>
  <c r="AW259" i="2"/>
  <c r="AP259" i="2"/>
  <c r="AX259" i="2"/>
  <c r="AQ259" i="2"/>
  <c r="AY259" i="2"/>
  <c r="AS259" i="2"/>
  <c r="AL259" i="2"/>
  <c r="AR259" i="2"/>
  <c r="AT259" i="2"/>
  <c r="AM251" i="2"/>
  <c r="AU251" i="2"/>
  <c r="AN251" i="2"/>
  <c r="AV251" i="2"/>
  <c r="AO251" i="2"/>
  <c r="AW251" i="2"/>
  <c r="AP251" i="2"/>
  <c r="AX251" i="2"/>
  <c r="AQ251" i="2"/>
  <c r="AY251" i="2"/>
  <c r="AS251" i="2"/>
  <c r="AR251" i="2"/>
  <c r="AT251" i="2"/>
  <c r="AL251" i="2"/>
  <c r="AM243" i="2"/>
  <c r="AU243" i="2"/>
  <c r="AN243" i="2"/>
  <c r="AV243" i="2"/>
  <c r="AO243" i="2"/>
  <c r="AW243" i="2"/>
  <c r="AP243" i="2"/>
  <c r="AX243" i="2"/>
  <c r="AQ243" i="2"/>
  <c r="AY243" i="2"/>
  <c r="AS243" i="2"/>
  <c r="AL243" i="2"/>
  <c r="AR243" i="2"/>
  <c r="AT243" i="2"/>
  <c r="AM235" i="2"/>
  <c r="AU235" i="2"/>
  <c r="AN235" i="2"/>
  <c r="AV235" i="2"/>
  <c r="AO235" i="2"/>
  <c r="AW235" i="2"/>
  <c r="AP235" i="2"/>
  <c r="AX235" i="2"/>
  <c r="AQ235" i="2"/>
  <c r="AY235" i="2"/>
  <c r="AS235" i="2"/>
  <c r="AR235" i="2"/>
  <c r="AT235" i="2"/>
  <c r="AL235" i="2"/>
  <c r="AM227" i="2"/>
  <c r="AU227" i="2"/>
  <c r="AN227" i="2"/>
  <c r="AV227" i="2"/>
  <c r="AO227" i="2"/>
  <c r="AW227" i="2"/>
  <c r="AP227" i="2"/>
  <c r="AX227" i="2"/>
  <c r="AQ227" i="2"/>
  <c r="AY227" i="2"/>
  <c r="AS227" i="2"/>
  <c r="AL227" i="2"/>
  <c r="AR227" i="2"/>
  <c r="AT227" i="2"/>
  <c r="AM219" i="2"/>
  <c r="AU219" i="2"/>
  <c r="AN219" i="2"/>
  <c r="AV219" i="2"/>
  <c r="AO219" i="2"/>
  <c r="AW219" i="2"/>
  <c r="AP219" i="2"/>
  <c r="AX219" i="2"/>
  <c r="AQ219" i="2"/>
  <c r="AY219" i="2"/>
  <c r="AS219" i="2"/>
  <c r="AR219" i="2"/>
  <c r="AT219" i="2"/>
  <c r="AL219" i="2"/>
  <c r="AM211" i="2"/>
  <c r="AU211" i="2"/>
  <c r="AN211" i="2"/>
  <c r="AV211" i="2"/>
  <c r="AO211" i="2"/>
  <c r="AW211" i="2"/>
  <c r="AP211" i="2"/>
  <c r="AX211" i="2"/>
  <c r="AQ211" i="2"/>
  <c r="AY211" i="2"/>
  <c r="AS211" i="2"/>
  <c r="AL211" i="2"/>
  <c r="AR211" i="2"/>
  <c r="AT211" i="2"/>
  <c r="AM203" i="2"/>
  <c r="AU203" i="2"/>
  <c r="AN203" i="2"/>
  <c r="AV203" i="2"/>
  <c r="AO203" i="2"/>
  <c r="AW203" i="2"/>
  <c r="AP203" i="2"/>
  <c r="AX203" i="2"/>
  <c r="AQ203" i="2"/>
  <c r="AY203" i="2"/>
  <c r="AS203" i="2"/>
  <c r="AR203" i="2"/>
  <c r="AT203" i="2"/>
  <c r="AL203" i="2"/>
  <c r="AM195" i="2"/>
  <c r="AU195" i="2"/>
  <c r="AN195" i="2"/>
  <c r="AV195" i="2"/>
  <c r="AO195" i="2"/>
  <c r="AW195" i="2"/>
  <c r="AP195" i="2"/>
  <c r="AX195" i="2"/>
  <c r="AQ195" i="2"/>
  <c r="AY195" i="2"/>
  <c r="AS195" i="2"/>
  <c r="AL195" i="2"/>
  <c r="AR195" i="2"/>
  <c r="AT195" i="2"/>
  <c r="AM187" i="2"/>
  <c r="AU187" i="2"/>
  <c r="AN187" i="2"/>
  <c r="AV187" i="2"/>
  <c r="AO187" i="2"/>
  <c r="AW187" i="2"/>
  <c r="AP187" i="2"/>
  <c r="AX187" i="2"/>
  <c r="AQ187" i="2"/>
  <c r="AY187" i="2"/>
  <c r="AS187" i="2"/>
  <c r="AR187" i="2"/>
  <c r="AT187" i="2"/>
  <c r="AL187" i="2"/>
  <c r="AM179" i="2"/>
  <c r="AU179" i="2"/>
  <c r="AN179" i="2"/>
  <c r="AV179" i="2"/>
  <c r="AO179" i="2"/>
  <c r="AW179" i="2"/>
  <c r="AP179" i="2"/>
  <c r="AX179" i="2"/>
  <c r="AQ179" i="2"/>
  <c r="AY179" i="2"/>
  <c r="AS179" i="2"/>
  <c r="AL179" i="2"/>
  <c r="AR179" i="2"/>
  <c r="AT179" i="2"/>
  <c r="AM171" i="2"/>
  <c r="AU171" i="2"/>
  <c r="AN171" i="2"/>
  <c r="AV171" i="2"/>
  <c r="AO171" i="2"/>
  <c r="AW171" i="2"/>
  <c r="AP171" i="2"/>
  <c r="AX171" i="2"/>
  <c r="AQ171" i="2"/>
  <c r="AY171" i="2"/>
  <c r="AS171" i="2"/>
  <c r="AR171" i="2"/>
  <c r="AT171" i="2"/>
  <c r="AL171" i="2"/>
  <c r="AM163" i="2"/>
  <c r="AU163" i="2"/>
  <c r="AN163" i="2"/>
  <c r="AV163" i="2"/>
  <c r="AO163" i="2"/>
  <c r="AW163" i="2"/>
  <c r="AP163" i="2"/>
  <c r="AX163" i="2"/>
  <c r="AQ163" i="2"/>
  <c r="AY163" i="2"/>
  <c r="AS163" i="2"/>
  <c r="AL163" i="2"/>
  <c r="AR163" i="2"/>
  <c r="AT163" i="2"/>
  <c r="AM155" i="2"/>
  <c r="AU155" i="2"/>
  <c r="AN155" i="2"/>
  <c r="AV155" i="2"/>
  <c r="AO155" i="2"/>
  <c r="AW155" i="2"/>
  <c r="AP155" i="2"/>
  <c r="AX155" i="2"/>
  <c r="AQ155" i="2"/>
  <c r="AY155" i="2"/>
  <c r="AS155" i="2"/>
  <c r="AR155" i="2"/>
  <c r="AT155" i="2"/>
  <c r="AL155" i="2"/>
  <c r="AN147" i="2"/>
  <c r="AV147" i="2"/>
  <c r="AO147" i="2"/>
  <c r="AW147" i="2"/>
  <c r="AP147" i="2"/>
  <c r="AX147" i="2"/>
  <c r="AQ147" i="2"/>
  <c r="AY147" i="2"/>
  <c r="AR147" i="2"/>
  <c r="AS147" i="2"/>
  <c r="AL147" i="2"/>
  <c r="AM147" i="2"/>
  <c r="AT147" i="2"/>
  <c r="AU147" i="2"/>
  <c r="AN139" i="2"/>
  <c r="AV139" i="2"/>
  <c r="AO139" i="2"/>
  <c r="AW139" i="2"/>
  <c r="AP139" i="2"/>
  <c r="AX139" i="2"/>
  <c r="AQ139" i="2"/>
  <c r="AY139" i="2"/>
  <c r="AR139" i="2"/>
  <c r="AS139" i="2"/>
  <c r="AT139" i="2"/>
  <c r="AU139" i="2"/>
  <c r="AL139" i="2"/>
  <c r="AM139" i="2"/>
  <c r="AN131" i="2"/>
  <c r="AV131" i="2"/>
  <c r="AO131" i="2"/>
  <c r="AW131" i="2"/>
  <c r="AP131" i="2"/>
  <c r="AX131" i="2"/>
  <c r="AQ131" i="2"/>
  <c r="AY131" i="2"/>
  <c r="AR131" i="2"/>
  <c r="AS131" i="2"/>
  <c r="AL131" i="2"/>
  <c r="AM131" i="2"/>
  <c r="AT131" i="2"/>
  <c r="AU131" i="2"/>
  <c r="AN123" i="2"/>
  <c r="AV123" i="2"/>
  <c r="AO123" i="2"/>
  <c r="AW123" i="2"/>
  <c r="AP123" i="2"/>
  <c r="AX123" i="2"/>
  <c r="AQ123" i="2"/>
  <c r="AY123" i="2"/>
  <c r="AR123" i="2"/>
  <c r="AS123" i="2"/>
  <c r="AT123" i="2"/>
  <c r="AU123" i="2"/>
  <c r="AL123" i="2"/>
  <c r="AM123" i="2"/>
  <c r="AO115" i="2"/>
  <c r="AW115" i="2"/>
  <c r="AR115" i="2"/>
  <c r="AS115" i="2"/>
  <c r="AM115" i="2"/>
  <c r="AU115" i="2"/>
  <c r="AL115" i="2"/>
  <c r="AN115" i="2"/>
  <c r="AP115" i="2"/>
  <c r="AQ115" i="2"/>
  <c r="AT115" i="2"/>
  <c r="AV115" i="2"/>
  <c r="AX115" i="2"/>
  <c r="AY115" i="2"/>
  <c r="AO107" i="2"/>
  <c r="AW107" i="2"/>
  <c r="AR107" i="2"/>
  <c r="AS107" i="2"/>
  <c r="AM107" i="2"/>
  <c r="AU107" i="2"/>
  <c r="AL107" i="2"/>
  <c r="AN107" i="2"/>
  <c r="AP107" i="2"/>
  <c r="AQ107" i="2"/>
  <c r="AT107" i="2"/>
  <c r="AV107" i="2"/>
  <c r="AX107" i="2"/>
  <c r="AY107" i="2"/>
  <c r="AO99" i="2"/>
  <c r="AW99" i="2"/>
  <c r="AR99" i="2"/>
  <c r="AS99" i="2"/>
  <c r="AM99" i="2"/>
  <c r="AU99" i="2"/>
  <c r="AL99" i="2"/>
  <c r="AN99" i="2"/>
  <c r="AP99" i="2"/>
  <c r="AQ99" i="2"/>
  <c r="AT99" i="2"/>
  <c r="AV99" i="2"/>
  <c r="AX99" i="2"/>
  <c r="AY99" i="2"/>
  <c r="AO91" i="2"/>
  <c r="AW91" i="2"/>
  <c r="AR91" i="2"/>
  <c r="AS91" i="2"/>
  <c r="AM91" i="2"/>
  <c r="AU91" i="2"/>
  <c r="AL91" i="2"/>
  <c r="AN91" i="2"/>
  <c r="AP91" i="2"/>
  <c r="AQ91" i="2"/>
  <c r="AT91" i="2"/>
  <c r="AV91" i="2"/>
  <c r="AX91" i="2"/>
  <c r="AY91" i="2"/>
  <c r="AM83" i="2"/>
  <c r="AU83" i="2"/>
  <c r="AN83" i="2"/>
  <c r="AV83" i="2"/>
  <c r="AO83" i="2"/>
  <c r="AW83" i="2"/>
  <c r="AP83" i="2"/>
  <c r="AX83" i="2"/>
  <c r="AQ83" i="2"/>
  <c r="AY83" i="2"/>
  <c r="AS83" i="2"/>
  <c r="AR83" i="2"/>
  <c r="AL83" i="2"/>
  <c r="AT83" i="2"/>
  <c r="AM75" i="2"/>
  <c r="AU75" i="2"/>
  <c r="AN75" i="2"/>
  <c r="AV75" i="2"/>
  <c r="AO75" i="2"/>
  <c r="AW75" i="2"/>
  <c r="AP75" i="2"/>
  <c r="AX75" i="2"/>
  <c r="AQ75" i="2"/>
  <c r="AY75" i="2"/>
  <c r="AS75" i="2"/>
  <c r="AL75" i="2"/>
  <c r="AR75" i="2"/>
  <c r="AT75" i="2"/>
  <c r="AM67" i="2"/>
  <c r="AU67" i="2"/>
  <c r="AN67" i="2"/>
  <c r="AV67" i="2"/>
  <c r="AO67" i="2"/>
  <c r="AW67" i="2"/>
  <c r="AP67" i="2"/>
  <c r="AX67" i="2"/>
  <c r="AQ67" i="2"/>
  <c r="AY67" i="2"/>
  <c r="AS67" i="2"/>
  <c r="AR67" i="2"/>
  <c r="AT67" i="2"/>
  <c r="AL67" i="2"/>
  <c r="AM59" i="2"/>
  <c r="AU59" i="2"/>
  <c r="AN59" i="2"/>
  <c r="AV59" i="2"/>
  <c r="AO59" i="2"/>
  <c r="AW59" i="2"/>
  <c r="AP59" i="2"/>
  <c r="AX59" i="2"/>
  <c r="AQ59" i="2"/>
  <c r="AY59" i="2"/>
  <c r="AS59" i="2"/>
  <c r="AL59" i="2"/>
  <c r="AR59" i="2"/>
  <c r="AT59" i="2"/>
  <c r="AS51" i="2"/>
  <c r="AM51" i="2"/>
  <c r="AU51" i="2"/>
  <c r="AN51" i="2"/>
  <c r="AV51" i="2"/>
  <c r="AO51" i="2"/>
  <c r="AW51" i="2"/>
  <c r="AP51" i="2"/>
  <c r="AX51" i="2"/>
  <c r="AT51" i="2"/>
  <c r="AY51" i="2"/>
  <c r="AQ51" i="2"/>
  <c r="AL51" i="2"/>
  <c r="AR51" i="2"/>
  <c r="AS43" i="2"/>
  <c r="AM43" i="2"/>
  <c r="AU43" i="2"/>
  <c r="AN43" i="2"/>
  <c r="AV43" i="2"/>
  <c r="AO43" i="2"/>
  <c r="AW43" i="2"/>
  <c r="AP43" i="2"/>
  <c r="AX43" i="2"/>
  <c r="AL43" i="2"/>
  <c r="AQ43" i="2"/>
  <c r="AT43" i="2"/>
  <c r="AR43" i="2"/>
  <c r="AY43" i="2"/>
  <c r="AS35" i="2"/>
  <c r="AM35" i="2"/>
  <c r="AU35" i="2"/>
  <c r="AN35" i="2"/>
  <c r="AV35" i="2"/>
  <c r="AO35" i="2"/>
  <c r="AW35" i="2"/>
  <c r="AP35" i="2"/>
  <c r="AX35" i="2"/>
  <c r="AL35" i="2"/>
  <c r="AQ35" i="2"/>
  <c r="AR35" i="2"/>
  <c r="AT35" i="2"/>
  <c r="AY35" i="2"/>
  <c r="AS27" i="2"/>
  <c r="AM27" i="2"/>
  <c r="AU27" i="2"/>
  <c r="AN27" i="2"/>
  <c r="AV27" i="2"/>
  <c r="AO27" i="2"/>
  <c r="AW27" i="2"/>
  <c r="AP27" i="2"/>
  <c r="AX27" i="2"/>
  <c r="AQ27" i="2"/>
  <c r="AR27" i="2"/>
  <c r="AT27" i="2"/>
  <c r="AY27" i="2"/>
  <c r="AL27" i="2"/>
  <c r="AS19" i="2"/>
  <c r="AM19" i="2"/>
  <c r="AU19" i="2"/>
  <c r="AN19" i="2"/>
  <c r="AV19" i="2"/>
  <c r="AO19" i="2"/>
  <c r="AW19" i="2"/>
  <c r="AP19" i="2"/>
  <c r="AX19" i="2"/>
  <c r="AT19" i="2"/>
  <c r="AY19" i="2"/>
  <c r="AQ19" i="2"/>
  <c r="AL19" i="2"/>
  <c r="AR19" i="2"/>
  <c r="AR11" i="2"/>
  <c r="AS11" i="2"/>
  <c r="AL11" i="2"/>
  <c r="AT11" i="2"/>
  <c r="AM11" i="2"/>
  <c r="AU11" i="2"/>
  <c r="AN11" i="2"/>
  <c r="AV11" i="2"/>
  <c r="AO11" i="2"/>
  <c r="AW11" i="2"/>
  <c r="AP11" i="2"/>
  <c r="AX11" i="2"/>
  <c r="AQ11" i="2"/>
  <c r="AY11" i="2"/>
  <c r="AR3" i="2"/>
  <c r="AL3" i="2"/>
  <c r="AS3" i="2"/>
  <c r="AT3" i="2"/>
  <c r="AM3" i="2"/>
  <c r="AU3" i="2"/>
  <c r="AN3" i="2"/>
  <c r="AV3" i="2"/>
  <c r="AP3" i="2"/>
  <c r="AX3" i="2"/>
  <c r="AO3" i="2"/>
  <c r="AQ3" i="2"/>
  <c r="AY3" i="2"/>
  <c r="AW3" i="2"/>
  <c r="AE3" i="2"/>
  <c r="AE272" i="2"/>
  <c r="AH271" i="2"/>
  <c r="AK270" i="2"/>
  <c r="AA270" i="2"/>
  <c r="AC269" i="2"/>
  <c r="AI267" i="2"/>
  <c r="AA266" i="2"/>
  <c r="AA263" i="2"/>
  <c r="AE261" i="2"/>
  <c r="AA259" i="2"/>
  <c r="AK256" i="2"/>
  <c r="AG254" i="2"/>
  <c r="AI247" i="2"/>
  <c r="AE245" i="2"/>
  <c r="AA243" i="2"/>
  <c r="AK240" i="2"/>
  <c r="AG238" i="2"/>
  <c r="AI231" i="2"/>
  <c r="AE229" i="2"/>
  <c r="AA227" i="2"/>
  <c r="AK224" i="2"/>
  <c r="AG222" i="2"/>
  <c r="AD214" i="2"/>
  <c r="AJ209" i="2"/>
  <c r="AB205" i="2"/>
  <c r="AH200" i="2"/>
  <c r="AF191" i="2"/>
  <c r="AD182" i="2"/>
  <c r="AJ177" i="2"/>
  <c r="AB173" i="2"/>
  <c r="AH168" i="2"/>
  <c r="AF159" i="2"/>
  <c r="AD150" i="2"/>
  <c r="AJ145" i="2"/>
  <c r="AG85" i="2"/>
  <c r="AD264" i="2"/>
  <c r="X264" i="2"/>
  <c r="AF264" i="2"/>
  <c r="Y264" i="2"/>
  <c r="AG264" i="2"/>
  <c r="Z264" i="2"/>
  <c r="AH264" i="2"/>
  <c r="AB264" i="2"/>
  <c r="AJ264" i="2"/>
  <c r="AA208" i="2"/>
  <c r="AI208" i="2"/>
  <c r="AB208" i="2"/>
  <c r="AJ208" i="2"/>
  <c r="AD208" i="2"/>
  <c r="Y208" i="2"/>
  <c r="AG208" i="2"/>
  <c r="AK208" i="2"/>
  <c r="X208" i="2"/>
  <c r="Z208" i="2"/>
  <c r="AC208" i="2"/>
  <c r="AF208" i="2"/>
  <c r="AA192" i="2"/>
  <c r="AI192" i="2"/>
  <c r="AB192" i="2"/>
  <c r="AJ192" i="2"/>
  <c r="AD192" i="2"/>
  <c r="Y192" i="2"/>
  <c r="AG192" i="2"/>
  <c r="AK192" i="2"/>
  <c r="X192" i="2"/>
  <c r="Z192" i="2"/>
  <c r="AC192" i="2"/>
  <c r="AF192" i="2"/>
  <c r="X128" i="2"/>
  <c r="AF128" i="2"/>
  <c r="Y128" i="2"/>
  <c r="AG128" i="2"/>
  <c r="Z128" i="2"/>
  <c r="AH128" i="2"/>
  <c r="AA128" i="2"/>
  <c r="AI128" i="2"/>
  <c r="AB128" i="2"/>
  <c r="AJ128" i="2"/>
  <c r="AD128" i="2"/>
  <c r="AE128" i="2"/>
  <c r="AK128" i="2"/>
  <c r="X80" i="2"/>
  <c r="AF80" i="2"/>
  <c r="Y80" i="2"/>
  <c r="AG80" i="2"/>
  <c r="Z80" i="2"/>
  <c r="AH80" i="2"/>
  <c r="AA80" i="2"/>
  <c r="AI80" i="2"/>
  <c r="AB80" i="2"/>
  <c r="AJ80" i="2"/>
  <c r="AD80" i="2"/>
  <c r="AE80" i="2"/>
  <c r="AK80" i="2"/>
  <c r="AC80" i="2"/>
  <c r="AE16" i="2"/>
  <c r="X16" i="2"/>
  <c r="AF16" i="2"/>
  <c r="Y16" i="2"/>
  <c r="AG16" i="2"/>
  <c r="Z16" i="2"/>
  <c r="AH16" i="2"/>
  <c r="AA16" i="2"/>
  <c r="AI16" i="2"/>
  <c r="AC16" i="2"/>
  <c r="AK16" i="2"/>
  <c r="AB16" i="2"/>
  <c r="AD16" i="2"/>
  <c r="AJ16" i="2"/>
  <c r="AS214" i="2"/>
  <c r="AL214" i="2"/>
  <c r="AT214" i="2"/>
  <c r="AM214" i="2"/>
  <c r="AU214" i="2"/>
  <c r="AN214" i="2"/>
  <c r="AV214" i="2"/>
  <c r="AO214" i="2"/>
  <c r="AW214" i="2"/>
  <c r="AQ214" i="2"/>
  <c r="AY214" i="2"/>
  <c r="AX214" i="2"/>
  <c r="AP214" i="2"/>
  <c r="AR214" i="2"/>
  <c r="AS206" i="2"/>
  <c r="AL206" i="2"/>
  <c r="AT206" i="2"/>
  <c r="AM206" i="2"/>
  <c r="AU206" i="2"/>
  <c r="AN206" i="2"/>
  <c r="AV206" i="2"/>
  <c r="AO206" i="2"/>
  <c r="AW206" i="2"/>
  <c r="AQ206" i="2"/>
  <c r="AY206" i="2"/>
  <c r="AP206" i="2"/>
  <c r="AR206" i="2"/>
  <c r="AX206" i="2"/>
  <c r="Z262" i="2"/>
  <c r="AH262" i="2"/>
  <c r="AB262" i="2"/>
  <c r="AJ262" i="2"/>
  <c r="AC262" i="2"/>
  <c r="AK262" i="2"/>
  <c r="AD262" i="2"/>
  <c r="X262" i="2"/>
  <c r="AF262" i="2"/>
  <c r="AE198" i="2"/>
  <c r="X198" i="2"/>
  <c r="AF198" i="2"/>
  <c r="Z198" i="2"/>
  <c r="AH198" i="2"/>
  <c r="AC198" i="2"/>
  <c r="AK198" i="2"/>
  <c r="AG198" i="2"/>
  <c r="AI198" i="2"/>
  <c r="AJ198" i="2"/>
  <c r="Y198" i="2"/>
  <c r="AB198" i="2"/>
  <c r="AB102" i="2"/>
  <c r="AJ102" i="2"/>
  <c r="AC102" i="2"/>
  <c r="AK102" i="2"/>
  <c r="AD102" i="2"/>
  <c r="AE102" i="2"/>
  <c r="X102" i="2"/>
  <c r="AF102" i="2"/>
  <c r="Z102" i="2"/>
  <c r="AH102" i="2"/>
  <c r="Y102" i="2"/>
  <c r="AA102" i="2"/>
  <c r="AI102" i="2"/>
  <c r="AA54" i="2"/>
  <c r="AI54" i="2"/>
  <c r="AB54" i="2"/>
  <c r="AJ54" i="2"/>
  <c r="AC54" i="2"/>
  <c r="AK54" i="2"/>
  <c r="AD54" i="2"/>
  <c r="AE54" i="2"/>
  <c r="Y54" i="2"/>
  <c r="AG54" i="2"/>
  <c r="AH54" i="2"/>
  <c r="Z54" i="2"/>
  <c r="AF54" i="2"/>
  <c r="X54" i="2"/>
  <c r="AA14" i="2"/>
  <c r="AI14" i="2"/>
  <c r="AB14" i="2"/>
  <c r="AJ14" i="2"/>
  <c r="AC14" i="2"/>
  <c r="AK14" i="2"/>
  <c r="AD14" i="2"/>
  <c r="AE14" i="2"/>
  <c r="Y14" i="2"/>
  <c r="AG14" i="2"/>
  <c r="X14" i="2"/>
  <c r="Z14" i="2"/>
  <c r="AF14" i="2"/>
  <c r="AH14" i="2"/>
  <c r="AO244" i="2"/>
  <c r="AW244" i="2"/>
  <c r="AP244" i="2"/>
  <c r="AX244" i="2"/>
  <c r="AQ244" i="2"/>
  <c r="AY244" i="2"/>
  <c r="AR244" i="2"/>
  <c r="AS244" i="2"/>
  <c r="AM244" i="2"/>
  <c r="AU244" i="2"/>
  <c r="AT244" i="2"/>
  <c r="AV244" i="2"/>
  <c r="AL244" i="2"/>
  <c r="AN244" i="2"/>
  <c r="AO220" i="2"/>
  <c r="AW220" i="2"/>
  <c r="AP220" i="2"/>
  <c r="AX220" i="2"/>
  <c r="AQ220" i="2"/>
  <c r="AY220" i="2"/>
  <c r="AR220" i="2"/>
  <c r="AS220" i="2"/>
  <c r="AM220" i="2"/>
  <c r="AU220" i="2"/>
  <c r="AL220" i="2"/>
  <c r="AN220" i="2"/>
  <c r="AT220" i="2"/>
  <c r="AV220" i="2"/>
  <c r="AO212" i="2"/>
  <c r="AW212" i="2"/>
  <c r="AP212" i="2"/>
  <c r="AX212" i="2"/>
  <c r="AQ212" i="2"/>
  <c r="AY212" i="2"/>
  <c r="AR212" i="2"/>
  <c r="AS212" i="2"/>
  <c r="AM212" i="2"/>
  <c r="AU212" i="2"/>
  <c r="AT212" i="2"/>
  <c r="AV212" i="2"/>
  <c r="AL212" i="2"/>
  <c r="AN212" i="2"/>
  <c r="AO172" i="2"/>
  <c r="AW172" i="2"/>
  <c r="AP172" i="2"/>
  <c r="AX172" i="2"/>
  <c r="AQ172" i="2"/>
  <c r="AY172" i="2"/>
  <c r="AR172" i="2"/>
  <c r="AS172" i="2"/>
  <c r="AM172" i="2"/>
  <c r="AU172" i="2"/>
  <c r="AL172" i="2"/>
  <c r="AN172" i="2"/>
  <c r="AT172" i="2"/>
  <c r="AV172" i="2"/>
  <c r="AQ116" i="2"/>
  <c r="AY116" i="2"/>
  <c r="AL116" i="2"/>
  <c r="AT116" i="2"/>
  <c r="AM116" i="2"/>
  <c r="AU116" i="2"/>
  <c r="AO116" i="2"/>
  <c r="AW116" i="2"/>
  <c r="AN116" i="2"/>
  <c r="AP116" i="2"/>
  <c r="AR116" i="2"/>
  <c r="AS116" i="2"/>
  <c r="AV116" i="2"/>
  <c r="AX116" i="2"/>
  <c r="AO60" i="2"/>
  <c r="AW60" i="2"/>
  <c r="AP60" i="2"/>
  <c r="AX60" i="2"/>
  <c r="AQ60" i="2"/>
  <c r="AY60" i="2"/>
  <c r="AR60" i="2"/>
  <c r="AS60" i="2"/>
  <c r="AM60" i="2"/>
  <c r="AU60" i="2"/>
  <c r="AT60" i="2"/>
  <c r="AV60" i="2"/>
  <c r="AL60" i="2"/>
  <c r="AN60" i="2"/>
  <c r="AM44" i="2"/>
  <c r="AU44" i="2"/>
  <c r="AO44" i="2"/>
  <c r="AW44" i="2"/>
  <c r="AP44" i="2"/>
  <c r="AX44" i="2"/>
  <c r="AQ44" i="2"/>
  <c r="AY44" i="2"/>
  <c r="AR44" i="2"/>
  <c r="AL44" i="2"/>
  <c r="AN44" i="2"/>
  <c r="AS44" i="2"/>
  <c r="AT44" i="2"/>
  <c r="AV44" i="2"/>
  <c r="AL12" i="2"/>
  <c r="AT12" i="2"/>
  <c r="AM12" i="2"/>
  <c r="AU12" i="2"/>
  <c r="AN12" i="2"/>
  <c r="AV12" i="2"/>
  <c r="AO12" i="2"/>
  <c r="AW12" i="2"/>
  <c r="AP12" i="2"/>
  <c r="AX12" i="2"/>
  <c r="AQ12" i="2"/>
  <c r="AY12" i="2"/>
  <c r="AR12" i="2"/>
  <c r="AS12" i="2"/>
  <c r="AB270" i="2"/>
  <c r="AK264" i="2"/>
  <c r="AA248" i="2"/>
  <c r="AE136" i="2"/>
  <c r="AD260" i="2"/>
  <c r="AE260" i="2"/>
  <c r="X260" i="2"/>
  <c r="AF260" i="2"/>
  <c r="Y260" i="2"/>
  <c r="AG260" i="2"/>
  <c r="Z260" i="2"/>
  <c r="AH260" i="2"/>
  <c r="AB260" i="2"/>
  <c r="AJ260" i="2"/>
  <c r="AD252" i="2"/>
  <c r="AE252" i="2"/>
  <c r="X252" i="2"/>
  <c r="AF252" i="2"/>
  <c r="Y252" i="2"/>
  <c r="AG252" i="2"/>
  <c r="Z252" i="2"/>
  <c r="AH252" i="2"/>
  <c r="AB252" i="2"/>
  <c r="AJ252" i="2"/>
  <c r="AD236" i="2"/>
  <c r="AE236" i="2"/>
  <c r="X236" i="2"/>
  <c r="AF236" i="2"/>
  <c r="Y236" i="2"/>
  <c r="AG236" i="2"/>
  <c r="Z236" i="2"/>
  <c r="AH236" i="2"/>
  <c r="AB236" i="2"/>
  <c r="AJ236" i="2"/>
  <c r="AD228" i="2"/>
  <c r="AE228" i="2"/>
  <c r="X228" i="2"/>
  <c r="AF228" i="2"/>
  <c r="Y228" i="2"/>
  <c r="AG228" i="2"/>
  <c r="Z228" i="2"/>
  <c r="AH228" i="2"/>
  <c r="AB228" i="2"/>
  <c r="AJ228" i="2"/>
  <c r="AD220" i="2"/>
  <c r="AE220" i="2"/>
  <c r="X220" i="2"/>
  <c r="AF220" i="2"/>
  <c r="Y220" i="2"/>
  <c r="AG220" i="2"/>
  <c r="Z220" i="2"/>
  <c r="AH220" i="2"/>
  <c r="AB220" i="2"/>
  <c r="AJ220" i="2"/>
  <c r="AA212" i="2"/>
  <c r="AI212" i="2"/>
  <c r="AB212" i="2"/>
  <c r="AJ212" i="2"/>
  <c r="AD212" i="2"/>
  <c r="Y212" i="2"/>
  <c r="AG212" i="2"/>
  <c r="AC212" i="2"/>
  <c r="AE212" i="2"/>
  <c r="AF212" i="2"/>
  <c r="AH212" i="2"/>
  <c r="AK212" i="2"/>
  <c r="X212" i="2"/>
  <c r="AA204" i="2"/>
  <c r="AI204" i="2"/>
  <c r="AB204" i="2"/>
  <c r="AJ204" i="2"/>
  <c r="AD204" i="2"/>
  <c r="Y204" i="2"/>
  <c r="AG204" i="2"/>
  <c r="AC204" i="2"/>
  <c r="AE204" i="2"/>
  <c r="AF204" i="2"/>
  <c r="AH204" i="2"/>
  <c r="AK204" i="2"/>
  <c r="X204" i="2"/>
  <c r="AA196" i="2"/>
  <c r="AI196" i="2"/>
  <c r="AB196" i="2"/>
  <c r="AJ196" i="2"/>
  <c r="AD196" i="2"/>
  <c r="Y196" i="2"/>
  <c r="AG196" i="2"/>
  <c r="AC196" i="2"/>
  <c r="AE196" i="2"/>
  <c r="AF196" i="2"/>
  <c r="AH196" i="2"/>
  <c r="AK196" i="2"/>
  <c r="X196" i="2"/>
  <c r="AA188" i="2"/>
  <c r="AI188" i="2"/>
  <c r="AB188" i="2"/>
  <c r="AJ188" i="2"/>
  <c r="AD188" i="2"/>
  <c r="Y188" i="2"/>
  <c r="AG188" i="2"/>
  <c r="AC188" i="2"/>
  <c r="AE188" i="2"/>
  <c r="AF188" i="2"/>
  <c r="AH188" i="2"/>
  <c r="AK188" i="2"/>
  <c r="X188" i="2"/>
  <c r="AA180" i="2"/>
  <c r="AI180" i="2"/>
  <c r="AB180" i="2"/>
  <c r="AJ180" i="2"/>
  <c r="AD180" i="2"/>
  <c r="Y180" i="2"/>
  <c r="AG180" i="2"/>
  <c r="AC180" i="2"/>
  <c r="AE180" i="2"/>
  <c r="AF180" i="2"/>
  <c r="AH180" i="2"/>
  <c r="AK180" i="2"/>
  <c r="X180" i="2"/>
  <c r="AA172" i="2"/>
  <c r="AI172" i="2"/>
  <c r="AB172" i="2"/>
  <c r="AJ172" i="2"/>
  <c r="AD172" i="2"/>
  <c r="Y172" i="2"/>
  <c r="AG172" i="2"/>
  <c r="AC172" i="2"/>
  <c r="AE172" i="2"/>
  <c r="AF172" i="2"/>
  <c r="AH172" i="2"/>
  <c r="AK172" i="2"/>
  <c r="X172" i="2"/>
  <c r="AA164" i="2"/>
  <c r="AI164" i="2"/>
  <c r="AB164" i="2"/>
  <c r="AJ164" i="2"/>
  <c r="AD164" i="2"/>
  <c r="Y164" i="2"/>
  <c r="AG164" i="2"/>
  <c r="AC164" i="2"/>
  <c r="AE164" i="2"/>
  <c r="AF164" i="2"/>
  <c r="AH164" i="2"/>
  <c r="AK164" i="2"/>
  <c r="X164" i="2"/>
  <c r="AA156" i="2"/>
  <c r="AI156" i="2"/>
  <c r="AB156" i="2"/>
  <c r="AJ156" i="2"/>
  <c r="AD156" i="2"/>
  <c r="Y156" i="2"/>
  <c r="AG156" i="2"/>
  <c r="AC156" i="2"/>
  <c r="AE156" i="2"/>
  <c r="AF156" i="2"/>
  <c r="AH156" i="2"/>
  <c r="AK156" i="2"/>
  <c r="X156" i="2"/>
  <c r="AA148" i="2"/>
  <c r="AI148" i="2"/>
  <c r="AB148" i="2"/>
  <c r="AJ148" i="2"/>
  <c r="AD148" i="2"/>
  <c r="Y148" i="2"/>
  <c r="AG148" i="2"/>
  <c r="AC148" i="2"/>
  <c r="AE148" i="2"/>
  <c r="AF148" i="2"/>
  <c r="AH148" i="2"/>
  <c r="AK148" i="2"/>
  <c r="X148" i="2"/>
  <c r="X140" i="2"/>
  <c r="AF140" i="2"/>
  <c r="Y140" i="2"/>
  <c r="AG140" i="2"/>
  <c r="Z140" i="2"/>
  <c r="AH140" i="2"/>
  <c r="AA140" i="2"/>
  <c r="AI140" i="2"/>
  <c r="AB140" i="2"/>
  <c r="AJ140" i="2"/>
  <c r="AD140" i="2"/>
  <c r="AC140" i="2"/>
  <c r="AK140" i="2"/>
  <c r="AE140" i="2"/>
  <c r="X132" i="2"/>
  <c r="AF132" i="2"/>
  <c r="Y132" i="2"/>
  <c r="AG132" i="2"/>
  <c r="Z132" i="2"/>
  <c r="AH132" i="2"/>
  <c r="AA132" i="2"/>
  <c r="AI132" i="2"/>
  <c r="AB132" i="2"/>
  <c r="AJ132" i="2"/>
  <c r="AD132" i="2"/>
  <c r="AE132" i="2"/>
  <c r="AC132" i="2"/>
  <c r="X124" i="2"/>
  <c r="AF124" i="2"/>
  <c r="Y124" i="2"/>
  <c r="AG124" i="2"/>
  <c r="Z124" i="2"/>
  <c r="AH124" i="2"/>
  <c r="AA124" i="2"/>
  <c r="AI124" i="2"/>
  <c r="AB124" i="2"/>
  <c r="AJ124" i="2"/>
  <c r="AD124" i="2"/>
  <c r="AC124" i="2"/>
  <c r="AK124" i="2"/>
  <c r="AE124" i="2"/>
  <c r="X116" i="2"/>
  <c r="AF116" i="2"/>
  <c r="Y116" i="2"/>
  <c r="AG116" i="2"/>
  <c r="Z116" i="2"/>
  <c r="AH116" i="2"/>
  <c r="AA116" i="2"/>
  <c r="AI116" i="2"/>
  <c r="AB116" i="2"/>
  <c r="AJ116" i="2"/>
  <c r="AD116" i="2"/>
  <c r="AE116" i="2"/>
  <c r="AK116" i="2"/>
  <c r="X108" i="2"/>
  <c r="AF108" i="2"/>
  <c r="Y108" i="2"/>
  <c r="AG108" i="2"/>
  <c r="Z108" i="2"/>
  <c r="AH108" i="2"/>
  <c r="AA108" i="2"/>
  <c r="AI108" i="2"/>
  <c r="AB108" i="2"/>
  <c r="AJ108" i="2"/>
  <c r="AD108" i="2"/>
  <c r="AC108" i="2"/>
  <c r="AK108" i="2"/>
  <c r="X100" i="2"/>
  <c r="AF100" i="2"/>
  <c r="Y100" i="2"/>
  <c r="AG100" i="2"/>
  <c r="Z100" i="2"/>
  <c r="AH100" i="2"/>
  <c r="AA100" i="2"/>
  <c r="AI100" i="2"/>
  <c r="AB100" i="2"/>
  <c r="AJ100" i="2"/>
  <c r="AD100" i="2"/>
  <c r="AE100" i="2"/>
  <c r="AC100" i="2"/>
  <c r="AK100" i="2"/>
  <c r="X92" i="2"/>
  <c r="AF92" i="2"/>
  <c r="Y92" i="2"/>
  <c r="AG92" i="2"/>
  <c r="Z92" i="2"/>
  <c r="AH92" i="2"/>
  <c r="AA92" i="2"/>
  <c r="AI92" i="2"/>
  <c r="AB92" i="2"/>
  <c r="AJ92" i="2"/>
  <c r="AD92" i="2"/>
  <c r="AC92" i="2"/>
  <c r="AK92" i="2"/>
  <c r="AE92" i="2"/>
  <c r="X84" i="2"/>
  <c r="AF84" i="2"/>
  <c r="Y84" i="2"/>
  <c r="AG84" i="2"/>
  <c r="Z84" i="2"/>
  <c r="AH84" i="2"/>
  <c r="AA84" i="2"/>
  <c r="AI84" i="2"/>
  <c r="AB84" i="2"/>
  <c r="AJ84" i="2"/>
  <c r="AD84" i="2"/>
  <c r="AE84" i="2"/>
  <c r="AK84" i="2"/>
  <c r="X76" i="2"/>
  <c r="AF76" i="2"/>
  <c r="Y76" i="2"/>
  <c r="AG76" i="2"/>
  <c r="Z76" i="2"/>
  <c r="AH76" i="2"/>
  <c r="AA76" i="2"/>
  <c r="AI76" i="2"/>
  <c r="AB76" i="2"/>
  <c r="AJ76" i="2"/>
  <c r="AD76" i="2"/>
  <c r="AC76" i="2"/>
  <c r="AK76" i="2"/>
  <c r="AE76" i="2"/>
  <c r="AE68" i="2"/>
  <c r="Y68" i="2"/>
  <c r="AG68" i="2"/>
  <c r="Z68" i="2"/>
  <c r="AH68" i="2"/>
  <c r="AA68" i="2"/>
  <c r="AI68" i="2"/>
  <c r="AC68" i="2"/>
  <c r="AK68" i="2"/>
  <c r="X68" i="2"/>
  <c r="AB68" i="2"/>
  <c r="AD68" i="2"/>
  <c r="AF68" i="2"/>
  <c r="AJ68" i="2"/>
  <c r="AE60" i="2"/>
  <c r="X60" i="2"/>
  <c r="AF60" i="2"/>
  <c r="Y60" i="2"/>
  <c r="AG60" i="2"/>
  <c r="Z60" i="2"/>
  <c r="AH60" i="2"/>
  <c r="AA60" i="2"/>
  <c r="AI60" i="2"/>
  <c r="AC60" i="2"/>
  <c r="AK60" i="2"/>
  <c r="AB60" i="2"/>
  <c r="AD60" i="2"/>
  <c r="AJ60" i="2"/>
  <c r="AE52" i="2"/>
  <c r="X52" i="2"/>
  <c r="AF52" i="2"/>
  <c r="Y52" i="2"/>
  <c r="AG52" i="2"/>
  <c r="Z52" i="2"/>
  <c r="AH52" i="2"/>
  <c r="AA52" i="2"/>
  <c r="AI52" i="2"/>
  <c r="AC52" i="2"/>
  <c r="AK52" i="2"/>
  <c r="AD52" i="2"/>
  <c r="AJ52" i="2"/>
  <c r="AB52" i="2"/>
  <c r="AE44" i="2"/>
  <c r="X44" i="2"/>
  <c r="AF44" i="2"/>
  <c r="Y44" i="2"/>
  <c r="AG44" i="2"/>
  <c r="Z44" i="2"/>
  <c r="AH44" i="2"/>
  <c r="AA44" i="2"/>
  <c r="AI44" i="2"/>
  <c r="AC44" i="2"/>
  <c r="AK44" i="2"/>
  <c r="AB44" i="2"/>
  <c r="AD44" i="2"/>
  <c r="AE36" i="2"/>
  <c r="X36" i="2"/>
  <c r="AF36" i="2"/>
  <c r="Y36" i="2"/>
  <c r="AG36" i="2"/>
  <c r="Z36" i="2"/>
  <c r="AH36" i="2"/>
  <c r="AA36" i="2"/>
  <c r="AI36" i="2"/>
  <c r="AC36" i="2"/>
  <c r="AK36" i="2"/>
  <c r="AD36" i="2"/>
  <c r="AJ36" i="2"/>
  <c r="AB36" i="2"/>
  <c r="AE28" i="2"/>
  <c r="X28" i="2"/>
  <c r="AF28" i="2"/>
  <c r="Y28" i="2"/>
  <c r="AG28" i="2"/>
  <c r="Z28" i="2"/>
  <c r="AH28" i="2"/>
  <c r="AA28" i="2"/>
  <c r="AI28" i="2"/>
  <c r="AC28" i="2"/>
  <c r="AK28" i="2"/>
  <c r="AB28" i="2"/>
  <c r="AD28" i="2"/>
  <c r="AJ28" i="2"/>
  <c r="AE20" i="2"/>
  <c r="X20" i="2"/>
  <c r="AF20" i="2"/>
  <c r="Y20" i="2"/>
  <c r="AG20" i="2"/>
  <c r="Z20" i="2"/>
  <c r="AH20" i="2"/>
  <c r="AA20" i="2"/>
  <c r="AI20" i="2"/>
  <c r="AC20" i="2"/>
  <c r="AK20" i="2"/>
  <c r="AD20" i="2"/>
  <c r="AJ20" i="2"/>
  <c r="AB20" i="2"/>
  <c r="AE12" i="2"/>
  <c r="X12" i="2"/>
  <c r="AF12" i="2"/>
  <c r="Y12" i="2"/>
  <c r="AG12" i="2"/>
  <c r="Z12" i="2"/>
  <c r="AH12" i="2"/>
  <c r="AA12" i="2"/>
  <c r="AI12" i="2"/>
  <c r="AC12" i="2"/>
  <c r="AK12" i="2"/>
  <c r="AB12" i="2"/>
  <c r="AD12" i="2"/>
  <c r="AJ12" i="2"/>
  <c r="AE4" i="2"/>
  <c r="X4" i="2"/>
  <c r="AF4" i="2"/>
  <c r="Y4" i="2"/>
  <c r="AG4" i="2"/>
  <c r="Z4" i="2"/>
  <c r="AH4" i="2"/>
  <c r="AA4" i="2"/>
  <c r="AI4" i="2"/>
  <c r="AC4" i="2"/>
  <c r="AK4" i="2"/>
  <c r="AD4" i="2"/>
  <c r="AJ4" i="2"/>
  <c r="AB4" i="2"/>
  <c r="AS266" i="2"/>
  <c r="AL266" i="2"/>
  <c r="AT266" i="2"/>
  <c r="AM266" i="2"/>
  <c r="AU266" i="2"/>
  <c r="AO266" i="2"/>
  <c r="AW266" i="2"/>
  <c r="AQ266" i="2"/>
  <c r="AY266" i="2"/>
  <c r="AX266" i="2"/>
  <c r="AN266" i="2"/>
  <c r="AR266" i="2"/>
  <c r="AP266" i="2"/>
  <c r="AV266" i="2"/>
  <c r="AS258" i="2"/>
  <c r="AL258" i="2"/>
  <c r="AT258" i="2"/>
  <c r="AM258" i="2"/>
  <c r="AU258" i="2"/>
  <c r="AN258" i="2"/>
  <c r="AV258" i="2"/>
  <c r="AO258" i="2"/>
  <c r="AW258" i="2"/>
  <c r="AQ258" i="2"/>
  <c r="AY258" i="2"/>
  <c r="AP258" i="2"/>
  <c r="AR258" i="2"/>
  <c r="AX258" i="2"/>
  <c r="AS250" i="2"/>
  <c r="AL250" i="2"/>
  <c r="AT250" i="2"/>
  <c r="AM250" i="2"/>
  <c r="AU250" i="2"/>
  <c r="AN250" i="2"/>
  <c r="AV250" i="2"/>
  <c r="AO250" i="2"/>
  <c r="AW250" i="2"/>
  <c r="AQ250" i="2"/>
  <c r="AY250" i="2"/>
  <c r="AP250" i="2"/>
  <c r="AX250" i="2"/>
  <c r="AR250" i="2"/>
  <c r="AS242" i="2"/>
  <c r="AL242" i="2"/>
  <c r="AT242" i="2"/>
  <c r="AM242" i="2"/>
  <c r="AU242" i="2"/>
  <c r="AN242" i="2"/>
  <c r="AV242" i="2"/>
  <c r="AO242" i="2"/>
  <c r="AW242" i="2"/>
  <c r="AQ242" i="2"/>
  <c r="AY242" i="2"/>
  <c r="AP242" i="2"/>
  <c r="AR242" i="2"/>
  <c r="AX242" i="2"/>
  <c r="AS234" i="2"/>
  <c r="AL234" i="2"/>
  <c r="AT234" i="2"/>
  <c r="AM234" i="2"/>
  <c r="AU234" i="2"/>
  <c r="AN234" i="2"/>
  <c r="AV234" i="2"/>
  <c r="AO234" i="2"/>
  <c r="AW234" i="2"/>
  <c r="AQ234" i="2"/>
  <c r="AY234" i="2"/>
  <c r="AP234" i="2"/>
  <c r="AX234" i="2"/>
  <c r="AR234" i="2"/>
  <c r="AS226" i="2"/>
  <c r="AL226" i="2"/>
  <c r="AT226" i="2"/>
  <c r="AM226" i="2"/>
  <c r="AU226" i="2"/>
  <c r="AN226" i="2"/>
  <c r="AV226" i="2"/>
  <c r="AO226" i="2"/>
  <c r="AW226" i="2"/>
  <c r="AQ226" i="2"/>
  <c r="AY226" i="2"/>
  <c r="AP226" i="2"/>
  <c r="AR226" i="2"/>
  <c r="AX226" i="2"/>
  <c r="AS218" i="2"/>
  <c r="AL218" i="2"/>
  <c r="AT218" i="2"/>
  <c r="AM218" i="2"/>
  <c r="AU218" i="2"/>
  <c r="AN218" i="2"/>
  <c r="AV218" i="2"/>
  <c r="AO218" i="2"/>
  <c r="AW218" i="2"/>
  <c r="AQ218" i="2"/>
  <c r="AY218" i="2"/>
  <c r="AP218" i="2"/>
  <c r="AX218" i="2"/>
  <c r="AR218" i="2"/>
  <c r="AS210" i="2"/>
  <c r="AL210" i="2"/>
  <c r="AT210" i="2"/>
  <c r="AM210" i="2"/>
  <c r="AU210" i="2"/>
  <c r="AN210" i="2"/>
  <c r="AV210" i="2"/>
  <c r="AO210" i="2"/>
  <c r="AW210" i="2"/>
  <c r="AQ210" i="2"/>
  <c r="AY210" i="2"/>
  <c r="AP210" i="2"/>
  <c r="AR210" i="2"/>
  <c r="AX210" i="2"/>
  <c r="AS202" i="2"/>
  <c r="AL202" i="2"/>
  <c r="AT202" i="2"/>
  <c r="AM202" i="2"/>
  <c r="AU202" i="2"/>
  <c r="AN202" i="2"/>
  <c r="AV202" i="2"/>
  <c r="AO202" i="2"/>
  <c r="AW202" i="2"/>
  <c r="AQ202" i="2"/>
  <c r="AY202" i="2"/>
  <c r="AP202" i="2"/>
  <c r="AX202" i="2"/>
  <c r="AR202" i="2"/>
  <c r="AS194" i="2"/>
  <c r="AL194" i="2"/>
  <c r="AT194" i="2"/>
  <c r="AM194" i="2"/>
  <c r="AU194" i="2"/>
  <c r="AN194" i="2"/>
  <c r="AV194" i="2"/>
  <c r="AO194" i="2"/>
  <c r="AW194" i="2"/>
  <c r="AQ194" i="2"/>
  <c r="AY194" i="2"/>
  <c r="AP194" i="2"/>
  <c r="AR194" i="2"/>
  <c r="AX194" i="2"/>
  <c r="AS186" i="2"/>
  <c r="AL186" i="2"/>
  <c r="AT186" i="2"/>
  <c r="AM186" i="2"/>
  <c r="AU186" i="2"/>
  <c r="AN186" i="2"/>
  <c r="AV186" i="2"/>
  <c r="AO186" i="2"/>
  <c r="AW186" i="2"/>
  <c r="AQ186" i="2"/>
  <c r="AY186" i="2"/>
  <c r="AP186" i="2"/>
  <c r="AX186" i="2"/>
  <c r="AR186" i="2"/>
  <c r="AS178" i="2"/>
  <c r="AL178" i="2"/>
  <c r="AT178" i="2"/>
  <c r="AM178" i="2"/>
  <c r="AU178" i="2"/>
  <c r="AN178" i="2"/>
  <c r="AV178" i="2"/>
  <c r="AO178" i="2"/>
  <c r="AW178" i="2"/>
  <c r="AQ178" i="2"/>
  <c r="AY178" i="2"/>
  <c r="AP178" i="2"/>
  <c r="AR178" i="2"/>
  <c r="AX178" i="2"/>
  <c r="AS170" i="2"/>
  <c r="AL170" i="2"/>
  <c r="AT170" i="2"/>
  <c r="AM170" i="2"/>
  <c r="AU170" i="2"/>
  <c r="AN170" i="2"/>
  <c r="AV170" i="2"/>
  <c r="AO170" i="2"/>
  <c r="AW170" i="2"/>
  <c r="AQ170" i="2"/>
  <c r="AY170" i="2"/>
  <c r="AP170" i="2"/>
  <c r="AX170" i="2"/>
  <c r="AR170" i="2"/>
  <c r="AS162" i="2"/>
  <c r="AL162" i="2"/>
  <c r="AT162" i="2"/>
  <c r="AM162" i="2"/>
  <c r="AU162" i="2"/>
  <c r="AN162" i="2"/>
  <c r="AV162" i="2"/>
  <c r="AO162" i="2"/>
  <c r="AW162" i="2"/>
  <c r="AQ162" i="2"/>
  <c r="AY162" i="2"/>
  <c r="AP162" i="2"/>
  <c r="AR162" i="2"/>
  <c r="AX162" i="2"/>
  <c r="AS154" i="2"/>
  <c r="AL154" i="2"/>
  <c r="AT154" i="2"/>
  <c r="AM154" i="2"/>
  <c r="AU154" i="2"/>
  <c r="AN154" i="2"/>
  <c r="AV154" i="2"/>
  <c r="AO154" i="2"/>
  <c r="AW154" i="2"/>
  <c r="AQ154" i="2"/>
  <c r="AY154" i="2"/>
  <c r="AP154" i="2"/>
  <c r="AX154" i="2"/>
  <c r="AR154" i="2"/>
  <c r="AL146" i="2"/>
  <c r="AT146" i="2"/>
  <c r="AM146" i="2"/>
  <c r="AU146" i="2"/>
  <c r="AN146" i="2"/>
  <c r="AV146" i="2"/>
  <c r="AO146" i="2"/>
  <c r="AW146" i="2"/>
  <c r="AP146" i="2"/>
  <c r="AX146" i="2"/>
  <c r="AQ146" i="2"/>
  <c r="AY146" i="2"/>
  <c r="AR146" i="2"/>
  <c r="AS146" i="2"/>
  <c r="AL138" i="2"/>
  <c r="AT138" i="2"/>
  <c r="AM138" i="2"/>
  <c r="AU138" i="2"/>
  <c r="AN138" i="2"/>
  <c r="AV138" i="2"/>
  <c r="AO138" i="2"/>
  <c r="AW138" i="2"/>
  <c r="AP138" i="2"/>
  <c r="AX138" i="2"/>
  <c r="AQ138" i="2"/>
  <c r="AY138" i="2"/>
  <c r="AR138" i="2"/>
  <c r="AS138" i="2"/>
  <c r="AL130" i="2"/>
  <c r="AT130" i="2"/>
  <c r="AM130" i="2"/>
  <c r="AU130" i="2"/>
  <c r="AN130" i="2"/>
  <c r="AV130" i="2"/>
  <c r="AO130" i="2"/>
  <c r="AW130" i="2"/>
  <c r="AP130" i="2"/>
  <c r="AX130" i="2"/>
  <c r="AQ130" i="2"/>
  <c r="AY130" i="2"/>
  <c r="AR130" i="2"/>
  <c r="AS130" i="2"/>
  <c r="AM122" i="2"/>
  <c r="AT122" i="2"/>
  <c r="AL122" i="2"/>
  <c r="AU122" i="2"/>
  <c r="AN122" i="2"/>
  <c r="AV122" i="2"/>
  <c r="AO122" i="2"/>
  <c r="AW122" i="2"/>
  <c r="AP122" i="2"/>
  <c r="AX122" i="2"/>
  <c r="AQ122" i="2"/>
  <c r="AY122" i="2"/>
  <c r="AR122" i="2"/>
  <c r="AS122" i="2"/>
  <c r="AM114" i="2"/>
  <c r="AU114" i="2"/>
  <c r="AP114" i="2"/>
  <c r="AX114" i="2"/>
  <c r="AQ114" i="2"/>
  <c r="AY114" i="2"/>
  <c r="AS114" i="2"/>
  <c r="AL114" i="2"/>
  <c r="AN114" i="2"/>
  <c r="AO114" i="2"/>
  <c r="AR114" i="2"/>
  <c r="AT114" i="2"/>
  <c r="AV114" i="2"/>
  <c r="AW114" i="2"/>
  <c r="AM106" i="2"/>
  <c r="AU106" i="2"/>
  <c r="AP106" i="2"/>
  <c r="AX106" i="2"/>
  <c r="AQ106" i="2"/>
  <c r="AY106" i="2"/>
  <c r="AS106" i="2"/>
  <c r="AL106" i="2"/>
  <c r="AN106" i="2"/>
  <c r="AO106" i="2"/>
  <c r="AR106" i="2"/>
  <c r="AT106" i="2"/>
  <c r="AV106" i="2"/>
  <c r="AW106" i="2"/>
  <c r="AM98" i="2"/>
  <c r="AU98" i="2"/>
  <c r="AP98" i="2"/>
  <c r="AX98" i="2"/>
  <c r="AQ98" i="2"/>
  <c r="AY98" i="2"/>
  <c r="AS98" i="2"/>
  <c r="AL98" i="2"/>
  <c r="AN98" i="2"/>
  <c r="AO98" i="2"/>
  <c r="AR98" i="2"/>
  <c r="AT98" i="2"/>
  <c r="AV98" i="2"/>
  <c r="AW98" i="2"/>
  <c r="AM90" i="2"/>
  <c r="AU90" i="2"/>
  <c r="AP90" i="2"/>
  <c r="AX90" i="2"/>
  <c r="AQ90" i="2"/>
  <c r="AY90" i="2"/>
  <c r="AS90" i="2"/>
  <c r="AL90" i="2"/>
  <c r="AN90" i="2"/>
  <c r="AO90" i="2"/>
  <c r="AR90" i="2"/>
  <c r="AT90" i="2"/>
  <c r="AV90" i="2"/>
  <c r="AW90" i="2"/>
  <c r="AS82" i="2"/>
  <c r="AL82" i="2"/>
  <c r="AT82" i="2"/>
  <c r="AM82" i="2"/>
  <c r="AU82" i="2"/>
  <c r="AN82" i="2"/>
  <c r="AV82" i="2"/>
  <c r="AO82" i="2"/>
  <c r="AW82" i="2"/>
  <c r="AQ82" i="2"/>
  <c r="AY82" i="2"/>
  <c r="AP82" i="2"/>
  <c r="AX82" i="2"/>
  <c r="AR82" i="2"/>
  <c r="AS74" i="2"/>
  <c r="AL74" i="2"/>
  <c r="AT74" i="2"/>
  <c r="AM74" i="2"/>
  <c r="AU74" i="2"/>
  <c r="AN74" i="2"/>
  <c r="AV74" i="2"/>
  <c r="AO74" i="2"/>
  <c r="AW74" i="2"/>
  <c r="AQ74" i="2"/>
  <c r="AY74" i="2"/>
  <c r="AP74" i="2"/>
  <c r="AR74" i="2"/>
  <c r="AX74" i="2"/>
  <c r="AS66" i="2"/>
  <c r="AL66" i="2"/>
  <c r="AT66" i="2"/>
  <c r="AM66" i="2"/>
  <c r="AU66" i="2"/>
  <c r="AN66" i="2"/>
  <c r="AV66" i="2"/>
  <c r="AO66" i="2"/>
  <c r="AW66" i="2"/>
  <c r="AQ66" i="2"/>
  <c r="AY66" i="2"/>
  <c r="AP66" i="2"/>
  <c r="AX66" i="2"/>
  <c r="AR66" i="2"/>
  <c r="AS58" i="2"/>
  <c r="AL58" i="2"/>
  <c r="AT58" i="2"/>
  <c r="AM58" i="2"/>
  <c r="AU58" i="2"/>
  <c r="AN58" i="2"/>
  <c r="AV58" i="2"/>
  <c r="AO58" i="2"/>
  <c r="AW58" i="2"/>
  <c r="AQ58" i="2"/>
  <c r="AY58" i="2"/>
  <c r="AP58" i="2"/>
  <c r="AR58" i="2"/>
  <c r="AX58" i="2"/>
  <c r="AQ50" i="2"/>
  <c r="AY50" i="2"/>
  <c r="AS50" i="2"/>
  <c r="AL50" i="2"/>
  <c r="AT50" i="2"/>
  <c r="AM50" i="2"/>
  <c r="AU50" i="2"/>
  <c r="AN50" i="2"/>
  <c r="AV50" i="2"/>
  <c r="AO50" i="2"/>
  <c r="AP50" i="2"/>
  <c r="AR50" i="2"/>
  <c r="AW50" i="2"/>
  <c r="AX50" i="2"/>
  <c r="AQ42" i="2"/>
  <c r="AY42" i="2"/>
  <c r="AS42" i="2"/>
  <c r="AL42" i="2"/>
  <c r="AT42" i="2"/>
  <c r="AM42" i="2"/>
  <c r="AU42" i="2"/>
  <c r="AN42" i="2"/>
  <c r="AV42" i="2"/>
  <c r="AR42" i="2"/>
  <c r="AW42" i="2"/>
  <c r="AX42" i="2"/>
  <c r="AO42" i="2"/>
  <c r="AP42" i="2"/>
  <c r="AQ34" i="2"/>
  <c r="AY34" i="2"/>
  <c r="AS34" i="2"/>
  <c r="AL34" i="2"/>
  <c r="AT34" i="2"/>
  <c r="AM34" i="2"/>
  <c r="AU34" i="2"/>
  <c r="AN34" i="2"/>
  <c r="AV34" i="2"/>
  <c r="AX34" i="2"/>
  <c r="AO34" i="2"/>
  <c r="AR34" i="2"/>
  <c r="AP34" i="2"/>
  <c r="AW34" i="2"/>
  <c r="AQ26" i="2"/>
  <c r="AY26" i="2"/>
  <c r="AS26" i="2"/>
  <c r="AL26" i="2"/>
  <c r="AT26" i="2"/>
  <c r="AM26" i="2"/>
  <c r="AU26" i="2"/>
  <c r="AN26" i="2"/>
  <c r="AV26" i="2"/>
  <c r="AO26" i="2"/>
  <c r="AP26" i="2"/>
  <c r="AR26" i="2"/>
  <c r="AX26" i="2"/>
  <c r="AW26" i="2"/>
  <c r="AQ18" i="2"/>
  <c r="AY18" i="2"/>
  <c r="AS18" i="2"/>
  <c r="AL18" i="2"/>
  <c r="AT18" i="2"/>
  <c r="AM18" i="2"/>
  <c r="AU18" i="2"/>
  <c r="AN18" i="2"/>
  <c r="AV18" i="2"/>
  <c r="AO18" i="2"/>
  <c r="AP18" i="2"/>
  <c r="AR18" i="2"/>
  <c r="AW18" i="2"/>
  <c r="AX18" i="2"/>
  <c r="AP10" i="2"/>
  <c r="AX10" i="2"/>
  <c r="AQ10" i="2"/>
  <c r="AY10" i="2"/>
  <c r="AR10" i="2"/>
  <c r="AS10" i="2"/>
  <c r="AL10" i="2"/>
  <c r="AT10" i="2"/>
  <c r="AM10" i="2"/>
  <c r="AU10" i="2"/>
  <c r="AN10" i="2"/>
  <c r="AV10" i="2"/>
  <c r="AO10" i="2"/>
  <c r="AW10" i="2"/>
  <c r="X3" i="2"/>
  <c r="AD3" i="2"/>
  <c r="AG271" i="2"/>
  <c r="AJ270" i="2"/>
  <c r="Y270" i="2"/>
  <c r="Y269" i="2"/>
  <c r="AE264" i="2"/>
  <c r="Y263" i="2"/>
  <c r="AC261" i="2"/>
  <c r="AI256" i="2"/>
  <c r="AE254" i="2"/>
  <c r="AA252" i="2"/>
  <c r="AK249" i="2"/>
  <c r="AG247" i="2"/>
  <c r="AC245" i="2"/>
  <c r="AI240" i="2"/>
  <c r="AA236" i="2"/>
  <c r="AK233" i="2"/>
  <c r="AG231" i="2"/>
  <c r="AC229" i="2"/>
  <c r="AI224" i="2"/>
  <c r="AA220" i="2"/>
  <c r="AK217" i="2"/>
  <c r="Y205" i="2"/>
  <c r="AC191" i="2"/>
  <c r="Y173" i="2"/>
  <c r="AE168" i="2"/>
  <c r="AC159" i="2"/>
  <c r="AA150" i="2"/>
  <c r="AE108" i="2"/>
  <c r="AC84" i="2"/>
  <c r="AD272" i="2"/>
  <c r="Z272" i="2"/>
  <c r="AH272" i="2"/>
  <c r="AA216" i="2"/>
  <c r="AI216" i="2"/>
  <c r="AB216" i="2"/>
  <c r="AJ216" i="2"/>
  <c r="AD216" i="2"/>
  <c r="Y216" i="2"/>
  <c r="AG216" i="2"/>
  <c r="AK216" i="2"/>
  <c r="X216" i="2"/>
  <c r="Z216" i="2"/>
  <c r="AC216" i="2"/>
  <c r="AF216" i="2"/>
  <c r="AA176" i="2"/>
  <c r="AI176" i="2"/>
  <c r="AB176" i="2"/>
  <c r="AJ176" i="2"/>
  <c r="AD176" i="2"/>
  <c r="Y176" i="2"/>
  <c r="AG176" i="2"/>
  <c r="AK176" i="2"/>
  <c r="X176" i="2"/>
  <c r="Z176" i="2"/>
  <c r="AC176" i="2"/>
  <c r="AF176" i="2"/>
  <c r="AA160" i="2"/>
  <c r="AI160" i="2"/>
  <c r="AB160" i="2"/>
  <c r="AJ160" i="2"/>
  <c r="AD160" i="2"/>
  <c r="Y160" i="2"/>
  <c r="AG160" i="2"/>
  <c r="AK160" i="2"/>
  <c r="X160" i="2"/>
  <c r="Z160" i="2"/>
  <c r="AC160" i="2"/>
  <c r="AF160" i="2"/>
  <c r="X120" i="2"/>
  <c r="AF120" i="2"/>
  <c r="Y120" i="2"/>
  <c r="AG120" i="2"/>
  <c r="Z120" i="2"/>
  <c r="AH120" i="2"/>
  <c r="AA120" i="2"/>
  <c r="AI120" i="2"/>
  <c r="AB120" i="2"/>
  <c r="AJ120" i="2"/>
  <c r="AD120" i="2"/>
  <c r="AC120" i="2"/>
  <c r="AE120" i="2"/>
  <c r="AE72" i="2"/>
  <c r="Y72" i="2"/>
  <c r="Z72" i="2"/>
  <c r="AA72" i="2"/>
  <c r="AC72" i="2"/>
  <c r="AF72" i="2"/>
  <c r="AG72" i="2"/>
  <c r="AH72" i="2"/>
  <c r="AI72" i="2"/>
  <c r="AJ72" i="2"/>
  <c r="AB72" i="2"/>
  <c r="X72" i="2"/>
  <c r="AD72" i="2"/>
  <c r="AK72" i="2"/>
  <c r="AE32" i="2"/>
  <c r="X32" i="2"/>
  <c r="AF32" i="2"/>
  <c r="Y32" i="2"/>
  <c r="AG32" i="2"/>
  <c r="Z32" i="2"/>
  <c r="AH32" i="2"/>
  <c r="AA32" i="2"/>
  <c r="AI32" i="2"/>
  <c r="AC32" i="2"/>
  <c r="AK32" i="2"/>
  <c r="AB32" i="2"/>
  <c r="AD32" i="2"/>
  <c r="AJ32" i="2"/>
  <c r="AE8" i="2"/>
  <c r="X8" i="2"/>
  <c r="AF8" i="2"/>
  <c r="Y8" i="2"/>
  <c r="AG8" i="2"/>
  <c r="Z8" i="2"/>
  <c r="AH8" i="2"/>
  <c r="AA8" i="2"/>
  <c r="AI8" i="2"/>
  <c r="AC8" i="2"/>
  <c r="AK8" i="2"/>
  <c r="AD8" i="2"/>
  <c r="AJ8" i="2"/>
  <c r="AS254" i="2"/>
  <c r="AL254" i="2"/>
  <c r="AT254" i="2"/>
  <c r="AM254" i="2"/>
  <c r="AU254" i="2"/>
  <c r="AN254" i="2"/>
  <c r="AV254" i="2"/>
  <c r="AO254" i="2"/>
  <c r="AW254" i="2"/>
  <c r="AQ254" i="2"/>
  <c r="AY254" i="2"/>
  <c r="AP254" i="2"/>
  <c r="AR254" i="2"/>
  <c r="AX254" i="2"/>
  <c r="AS230" i="2"/>
  <c r="AL230" i="2"/>
  <c r="AT230" i="2"/>
  <c r="AM230" i="2"/>
  <c r="AU230" i="2"/>
  <c r="AN230" i="2"/>
  <c r="AV230" i="2"/>
  <c r="AO230" i="2"/>
  <c r="AW230" i="2"/>
  <c r="AQ230" i="2"/>
  <c r="AY230" i="2"/>
  <c r="AX230" i="2"/>
  <c r="AP230" i="2"/>
  <c r="AR230" i="2"/>
  <c r="AS222" i="2"/>
  <c r="AL222" i="2"/>
  <c r="AT222" i="2"/>
  <c r="AM222" i="2"/>
  <c r="AU222" i="2"/>
  <c r="AN222" i="2"/>
  <c r="AV222" i="2"/>
  <c r="AO222" i="2"/>
  <c r="AW222" i="2"/>
  <c r="AQ222" i="2"/>
  <c r="AY222" i="2"/>
  <c r="AP222" i="2"/>
  <c r="AR222" i="2"/>
  <c r="AX222" i="2"/>
  <c r="AS182" i="2"/>
  <c r="AL182" i="2"/>
  <c r="AT182" i="2"/>
  <c r="AM182" i="2"/>
  <c r="AU182" i="2"/>
  <c r="AN182" i="2"/>
  <c r="AV182" i="2"/>
  <c r="AO182" i="2"/>
  <c r="AW182" i="2"/>
  <c r="AQ182" i="2"/>
  <c r="AY182" i="2"/>
  <c r="AX182" i="2"/>
  <c r="AP182" i="2"/>
  <c r="AR182" i="2"/>
  <c r="Z238" i="2"/>
  <c r="AH238" i="2"/>
  <c r="AA238" i="2"/>
  <c r="AI238" i="2"/>
  <c r="AB238" i="2"/>
  <c r="AJ238" i="2"/>
  <c r="AC238" i="2"/>
  <c r="AK238" i="2"/>
  <c r="AD238" i="2"/>
  <c r="X238" i="2"/>
  <c r="AF238" i="2"/>
  <c r="Z222" i="2"/>
  <c r="AH222" i="2"/>
  <c r="AA222" i="2"/>
  <c r="AI222" i="2"/>
  <c r="AB222" i="2"/>
  <c r="AJ222" i="2"/>
  <c r="AC222" i="2"/>
  <c r="AK222" i="2"/>
  <c r="AD222" i="2"/>
  <c r="X222" i="2"/>
  <c r="AF222" i="2"/>
  <c r="AE174" i="2"/>
  <c r="X174" i="2"/>
  <c r="AF174" i="2"/>
  <c r="Z174" i="2"/>
  <c r="AH174" i="2"/>
  <c r="AC174" i="2"/>
  <c r="AK174" i="2"/>
  <c r="AG174" i="2"/>
  <c r="AI174" i="2"/>
  <c r="AJ174" i="2"/>
  <c r="Y174" i="2"/>
  <c r="AB174" i="2"/>
  <c r="AE166" i="2"/>
  <c r="X166" i="2"/>
  <c r="AF166" i="2"/>
  <c r="Z166" i="2"/>
  <c r="AH166" i="2"/>
  <c r="AC166" i="2"/>
  <c r="AK166" i="2"/>
  <c r="AG166" i="2"/>
  <c r="AI166" i="2"/>
  <c r="AJ166" i="2"/>
  <c r="Y166" i="2"/>
  <c r="AB166" i="2"/>
  <c r="AB142" i="2"/>
  <c r="AJ142" i="2"/>
  <c r="AC142" i="2"/>
  <c r="AK142" i="2"/>
  <c r="AD142" i="2"/>
  <c r="AE142" i="2"/>
  <c r="X142" i="2"/>
  <c r="AF142" i="2"/>
  <c r="Z142" i="2"/>
  <c r="AH142" i="2"/>
  <c r="AA142" i="2"/>
  <c r="AG142" i="2"/>
  <c r="AI142" i="2"/>
  <c r="AB134" i="2"/>
  <c r="AJ134" i="2"/>
  <c r="AC134" i="2"/>
  <c r="AK134" i="2"/>
  <c r="AD134" i="2"/>
  <c r="AE134" i="2"/>
  <c r="X134" i="2"/>
  <c r="AF134" i="2"/>
  <c r="Z134" i="2"/>
  <c r="AH134" i="2"/>
  <c r="Y134" i="2"/>
  <c r="AI134" i="2"/>
  <c r="AA134" i="2"/>
  <c r="AG134" i="2"/>
  <c r="AB118" i="2"/>
  <c r="AJ118" i="2"/>
  <c r="AC118" i="2"/>
  <c r="AK118" i="2"/>
  <c r="AD118" i="2"/>
  <c r="AE118" i="2"/>
  <c r="X118" i="2"/>
  <c r="AF118" i="2"/>
  <c r="Z118" i="2"/>
  <c r="AH118" i="2"/>
  <c r="Y118" i="2"/>
  <c r="AA118" i="2"/>
  <c r="AI118" i="2"/>
  <c r="AG118" i="2"/>
  <c r="AA30" i="2"/>
  <c r="AI30" i="2"/>
  <c r="AB30" i="2"/>
  <c r="AJ30" i="2"/>
  <c r="AC30" i="2"/>
  <c r="AK30" i="2"/>
  <c r="AD30" i="2"/>
  <c r="AE30" i="2"/>
  <c r="Y30" i="2"/>
  <c r="AG30" i="2"/>
  <c r="X30" i="2"/>
  <c r="Z30" i="2"/>
  <c r="AF30" i="2"/>
  <c r="AH30" i="2"/>
  <c r="AA6" i="2"/>
  <c r="AI6" i="2"/>
  <c r="AB6" i="2"/>
  <c r="AJ6" i="2"/>
  <c r="AC6" i="2"/>
  <c r="AK6" i="2"/>
  <c r="AD6" i="2"/>
  <c r="AE6" i="2"/>
  <c r="Y6" i="2"/>
  <c r="AG6" i="2"/>
  <c r="AH6" i="2"/>
  <c r="Z6" i="2"/>
  <c r="AF6" i="2"/>
  <c r="X6" i="2"/>
  <c r="AO196" i="2"/>
  <c r="AW196" i="2"/>
  <c r="AP196" i="2"/>
  <c r="AX196" i="2"/>
  <c r="AQ196" i="2"/>
  <c r="AY196" i="2"/>
  <c r="AR196" i="2"/>
  <c r="AS196" i="2"/>
  <c r="AM196" i="2"/>
  <c r="AU196" i="2"/>
  <c r="AT196" i="2"/>
  <c r="AV196" i="2"/>
  <c r="AL196" i="2"/>
  <c r="AN196" i="2"/>
  <c r="AP140" i="2"/>
  <c r="AX140" i="2"/>
  <c r="AQ140" i="2"/>
  <c r="AY140" i="2"/>
  <c r="AR140" i="2"/>
  <c r="AS140" i="2"/>
  <c r="AL140" i="2"/>
  <c r="AT140" i="2"/>
  <c r="AM140" i="2"/>
  <c r="AU140" i="2"/>
  <c r="AN140" i="2"/>
  <c r="AO140" i="2"/>
  <c r="AV140" i="2"/>
  <c r="AW140" i="2"/>
  <c r="AQ108" i="2"/>
  <c r="AY108" i="2"/>
  <c r="AL108" i="2"/>
  <c r="AT108" i="2"/>
  <c r="AM108" i="2"/>
  <c r="AU108" i="2"/>
  <c r="AO108" i="2"/>
  <c r="AW108" i="2"/>
  <c r="AN108" i="2"/>
  <c r="AP108" i="2"/>
  <c r="AR108" i="2"/>
  <c r="AS108" i="2"/>
  <c r="AV108" i="2"/>
  <c r="AX108" i="2"/>
  <c r="AO84" i="2"/>
  <c r="AW84" i="2"/>
  <c r="AP84" i="2"/>
  <c r="AQ84" i="2"/>
  <c r="AY84" i="2"/>
  <c r="AR84" i="2"/>
  <c r="AS84" i="2"/>
  <c r="AM84" i="2"/>
  <c r="AU84" i="2"/>
  <c r="AN84" i="2"/>
  <c r="AT84" i="2"/>
  <c r="AX84" i="2"/>
  <c r="AV84" i="2"/>
  <c r="AL84" i="2"/>
  <c r="AO68" i="2"/>
  <c r="AW68" i="2"/>
  <c r="AP68" i="2"/>
  <c r="AX68" i="2"/>
  <c r="AQ68" i="2"/>
  <c r="AY68" i="2"/>
  <c r="AR68" i="2"/>
  <c r="AS68" i="2"/>
  <c r="AM68" i="2"/>
  <c r="AU68" i="2"/>
  <c r="AL68" i="2"/>
  <c r="AN68" i="2"/>
  <c r="AT68" i="2"/>
  <c r="AV68" i="2"/>
  <c r="AM20" i="2"/>
  <c r="AU20" i="2"/>
  <c r="AO20" i="2"/>
  <c r="AW20" i="2"/>
  <c r="AP20" i="2"/>
  <c r="AX20" i="2"/>
  <c r="AQ20" i="2"/>
  <c r="AY20" i="2"/>
  <c r="AR20" i="2"/>
  <c r="AL20" i="2"/>
  <c r="AN20" i="2"/>
  <c r="AS20" i="2"/>
  <c r="AV20" i="2"/>
  <c r="AT20" i="2"/>
  <c r="AD268" i="2"/>
  <c r="X268" i="2"/>
  <c r="AF268" i="2"/>
  <c r="Y268" i="2"/>
  <c r="AG268" i="2"/>
  <c r="Z268" i="2"/>
  <c r="AH268" i="2"/>
  <c r="AB268" i="2"/>
  <c r="AJ268" i="2"/>
  <c r="AD244" i="2"/>
  <c r="AE244" i="2"/>
  <c r="X244" i="2"/>
  <c r="AF244" i="2"/>
  <c r="Y244" i="2"/>
  <c r="AG244" i="2"/>
  <c r="Z244" i="2"/>
  <c r="AH244" i="2"/>
  <c r="AB244" i="2"/>
  <c r="AJ244" i="2"/>
  <c r="AB267" i="2"/>
  <c r="AJ267" i="2"/>
  <c r="AD267" i="2"/>
  <c r="AE267" i="2"/>
  <c r="X267" i="2"/>
  <c r="AF267" i="2"/>
  <c r="Z267" i="2"/>
  <c r="AH267" i="2"/>
  <c r="AB259" i="2"/>
  <c r="AJ259" i="2"/>
  <c r="AC259" i="2"/>
  <c r="AK259" i="2"/>
  <c r="AD259" i="2"/>
  <c r="AE259" i="2"/>
  <c r="X259" i="2"/>
  <c r="AF259" i="2"/>
  <c r="Z259" i="2"/>
  <c r="AH259" i="2"/>
  <c r="AB251" i="2"/>
  <c r="AJ251" i="2"/>
  <c r="AC251" i="2"/>
  <c r="AK251" i="2"/>
  <c r="AD251" i="2"/>
  <c r="AE251" i="2"/>
  <c r="X251" i="2"/>
  <c r="AF251" i="2"/>
  <c r="Z251" i="2"/>
  <c r="AH251" i="2"/>
  <c r="AB243" i="2"/>
  <c r="AJ243" i="2"/>
  <c r="AC243" i="2"/>
  <c r="AK243" i="2"/>
  <c r="AD243" i="2"/>
  <c r="AE243" i="2"/>
  <c r="X243" i="2"/>
  <c r="AF243" i="2"/>
  <c r="Z243" i="2"/>
  <c r="AH243" i="2"/>
  <c r="AB235" i="2"/>
  <c r="AJ235" i="2"/>
  <c r="AC235" i="2"/>
  <c r="AK235" i="2"/>
  <c r="AD235" i="2"/>
  <c r="AE235" i="2"/>
  <c r="X235" i="2"/>
  <c r="AF235" i="2"/>
  <c r="Z235" i="2"/>
  <c r="AH235" i="2"/>
  <c r="AB227" i="2"/>
  <c r="AJ227" i="2"/>
  <c r="AC227" i="2"/>
  <c r="AK227" i="2"/>
  <c r="AD227" i="2"/>
  <c r="AE227" i="2"/>
  <c r="X227" i="2"/>
  <c r="AF227" i="2"/>
  <c r="Z227" i="2"/>
  <c r="AH227" i="2"/>
  <c r="AB219" i="2"/>
  <c r="AJ219" i="2"/>
  <c r="AC219" i="2"/>
  <c r="AK219" i="2"/>
  <c r="AD219" i="2"/>
  <c r="AE219" i="2"/>
  <c r="X219" i="2"/>
  <c r="AF219" i="2"/>
  <c r="Z219" i="2"/>
  <c r="AH219" i="2"/>
  <c r="Y211" i="2"/>
  <c r="AG211" i="2"/>
  <c r="Z211" i="2"/>
  <c r="AH211" i="2"/>
  <c r="AB211" i="2"/>
  <c r="AJ211" i="2"/>
  <c r="AE211" i="2"/>
  <c r="AA211" i="2"/>
  <c r="AC211" i="2"/>
  <c r="AD211" i="2"/>
  <c r="AF211" i="2"/>
  <c r="AI211" i="2"/>
  <c r="Y203" i="2"/>
  <c r="AG203" i="2"/>
  <c r="Z203" i="2"/>
  <c r="AH203" i="2"/>
  <c r="AB203" i="2"/>
  <c r="AJ203" i="2"/>
  <c r="AE203" i="2"/>
  <c r="AA203" i="2"/>
  <c r="AC203" i="2"/>
  <c r="AD203" i="2"/>
  <c r="AF203" i="2"/>
  <c r="AI203" i="2"/>
  <c r="Y195" i="2"/>
  <c r="AG195" i="2"/>
  <c r="Z195" i="2"/>
  <c r="AH195" i="2"/>
  <c r="AB195" i="2"/>
  <c r="AJ195" i="2"/>
  <c r="AE195" i="2"/>
  <c r="AA195" i="2"/>
  <c r="AC195" i="2"/>
  <c r="AD195" i="2"/>
  <c r="AF195" i="2"/>
  <c r="AI195" i="2"/>
  <c r="Y187" i="2"/>
  <c r="AG187" i="2"/>
  <c r="Z187" i="2"/>
  <c r="AH187" i="2"/>
  <c r="AB187" i="2"/>
  <c r="AJ187" i="2"/>
  <c r="AE187" i="2"/>
  <c r="AA187" i="2"/>
  <c r="AC187" i="2"/>
  <c r="AD187" i="2"/>
  <c r="AF187" i="2"/>
  <c r="AI187" i="2"/>
  <c r="Y179" i="2"/>
  <c r="AG179" i="2"/>
  <c r="Z179" i="2"/>
  <c r="AH179" i="2"/>
  <c r="AB179" i="2"/>
  <c r="AJ179" i="2"/>
  <c r="AE179" i="2"/>
  <c r="AA179" i="2"/>
  <c r="AC179" i="2"/>
  <c r="AD179" i="2"/>
  <c r="AF179" i="2"/>
  <c r="AI179" i="2"/>
  <c r="Y171" i="2"/>
  <c r="AG171" i="2"/>
  <c r="Z171" i="2"/>
  <c r="AH171" i="2"/>
  <c r="AB171" i="2"/>
  <c r="AJ171" i="2"/>
  <c r="AE171" i="2"/>
  <c r="AA171" i="2"/>
  <c r="AC171" i="2"/>
  <c r="AD171" i="2"/>
  <c r="AF171" i="2"/>
  <c r="AI171" i="2"/>
  <c r="Y163" i="2"/>
  <c r="AG163" i="2"/>
  <c r="Z163" i="2"/>
  <c r="AH163" i="2"/>
  <c r="AB163" i="2"/>
  <c r="AJ163" i="2"/>
  <c r="AE163" i="2"/>
  <c r="AA163" i="2"/>
  <c r="AC163" i="2"/>
  <c r="AD163" i="2"/>
  <c r="AF163" i="2"/>
  <c r="AI163" i="2"/>
  <c r="Y155" i="2"/>
  <c r="AG155" i="2"/>
  <c r="Z155" i="2"/>
  <c r="AH155" i="2"/>
  <c r="AB155" i="2"/>
  <c r="AJ155" i="2"/>
  <c r="AE155" i="2"/>
  <c r="AA155" i="2"/>
  <c r="AC155" i="2"/>
  <c r="AD155" i="2"/>
  <c r="AF155" i="2"/>
  <c r="AI155" i="2"/>
  <c r="Y147" i="2"/>
  <c r="AG147" i="2"/>
  <c r="Z147" i="2"/>
  <c r="AH147" i="2"/>
  <c r="AB147" i="2"/>
  <c r="AJ147" i="2"/>
  <c r="AE147" i="2"/>
  <c r="AA147" i="2"/>
  <c r="AC147" i="2"/>
  <c r="AD147" i="2"/>
  <c r="AF147" i="2"/>
  <c r="AI147" i="2"/>
  <c r="AD139" i="2"/>
  <c r="AE139" i="2"/>
  <c r="X139" i="2"/>
  <c r="AF139" i="2"/>
  <c r="Y139" i="2"/>
  <c r="AG139" i="2"/>
  <c r="Z139" i="2"/>
  <c r="AH139" i="2"/>
  <c r="AB139" i="2"/>
  <c r="AJ139" i="2"/>
  <c r="AK139" i="2"/>
  <c r="AC139" i="2"/>
  <c r="AA139" i="2"/>
  <c r="AI139" i="2"/>
  <c r="AD131" i="2"/>
  <c r="AE131" i="2"/>
  <c r="X131" i="2"/>
  <c r="AF131" i="2"/>
  <c r="Y131" i="2"/>
  <c r="AG131" i="2"/>
  <c r="Z131" i="2"/>
  <c r="AH131" i="2"/>
  <c r="AB131" i="2"/>
  <c r="AJ131" i="2"/>
  <c r="AA131" i="2"/>
  <c r="AI131" i="2"/>
  <c r="AC131" i="2"/>
  <c r="AD123" i="2"/>
  <c r="AE123" i="2"/>
  <c r="X123" i="2"/>
  <c r="AF123" i="2"/>
  <c r="Y123" i="2"/>
  <c r="AG123" i="2"/>
  <c r="Z123" i="2"/>
  <c r="AH123" i="2"/>
  <c r="AB123" i="2"/>
  <c r="AJ123" i="2"/>
  <c r="AK123" i="2"/>
  <c r="AC123" i="2"/>
  <c r="AA123" i="2"/>
  <c r="AI123" i="2"/>
  <c r="AD115" i="2"/>
  <c r="AE115" i="2"/>
  <c r="X115" i="2"/>
  <c r="AF115" i="2"/>
  <c r="Y115" i="2"/>
  <c r="AG115" i="2"/>
  <c r="Z115" i="2"/>
  <c r="AH115" i="2"/>
  <c r="AB115" i="2"/>
  <c r="AJ115" i="2"/>
  <c r="AA115" i="2"/>
  <c r="AI115" i="2"/>
  <c r="AK115" i="2"/>
  <c r="AC115" i="2"/>
  <c r="AD107" i="2"/>
  <c r="AE107" i="2"/>
  <c r="X107" i="2"/>
  <c r="AF107" i="2"/>
  <c r="Y107" i="2"/>
  <c r="AG107" i="2"/>
  <c r="Z107" i="2"/>
  <c r="AH107" i="2"/>
  <c r="AB107" i="2"/>
  <c r="AJ107" i="2"/>
  <c r="AK107" i="2"/>
  <c r="AC107" i="2"/>
  <c r="AA107" i="2"/>
  <c r="AI107" i="2"/>
  <c r="AD99" i="2"/>
  <c r="AE99" i="2"/>
  <c r="X99" i="2"/>
  <c r="AF99" i="2"/>
  <c r="Y99" i="2"/>
  <c r="AG99" i="2"/>
  <c r="Z99" i="2"/>
  <c r="AH99" i="2"/>
  <c r="AB99" i="2"/>
  <c r="AJ99" i="2"/>
  <c r="AA99" i="2"/>
  <c r="AI99" i="2"/>
  <c r="AK99" i="2"/>
  <c r="AC99" i="2"/>
  <c r="AD91" i="2"/>
  <c r="AE91" i="2"/>
  <c r="X91" i="2"/>
  <c r="AF91" i="2"/>
  <c r="Y91" i="2"/>
  <c r="AG91" i="2"/>
  <c r="Z91" i="2"/>
  <c r="AH91" i="2"/>
  <c r="AB91" i="2"/>
  <c r="AJ91" i="2"/>
  <c r="AK91" i="2"/>
  <c r="AC91" i="2"/>
  <c r="AA91" i="2"/>
  <c r="AD83" i="2"/>
  <c r="AE83" i="2"/>
  <c r="X83" i="2"/>
  <c r="AF83" i="2"/>
  <c r="Y83" i="2"/>
  <c r="AG83" i="2"/>
  <c r="Z83" i="2"/>
  <c r="AH83" i="2"/>
  <c r="AB83" i="2"/>
  <c r="AJ83" i="2"/>
  <c r="AA83" i="2"/>
  <c r="AI83" i="2"/>
  <c r="AK83" i="2"/>
  <c r="AC83" i="2"/>
  <c r="AD75" i="2"/>
  <c r="AE75" i="2"/>
  <c r="X75" i="2"/>
  <c r="AF75" i="2"/>
  <c r="Y75" i="2"/>
  <c r="AG75" i="2"/>
  <c r="Z75" i="2"/>
  <c r="AH75" i="2"/>
  <c r="AB75" i="2"/>
  <c r="AJ75" i="2"/>
  <c r="AK75" i="2"/>
  <c r="AC75" i="2"/>
  <c r="AA75" i="2"/>
  <c r="AI75" i="2"/>
  <c r="AC67" i="2"/>
  <c r="AK67" i="2"/>
  <c r="AE67" i="2"/>
  <c r="X67" i="2"/>
  <c r="AF67" i="2"/>
  <c r="Y67" i="2"/>
  <c r="AG67" i="2"/>
  <c r="AA67" i="2"/>
  <c r="AI67" i="2"/>
  <c r="Z67" i="2"/>
  <c r="AB67" i="2"/>
  <c r="AH67" i="2"/>
  <c r="AJ67" i="2"/>
  <c r="AD67" i="2"/>
  <c r="AC59" i="2"/>
  <c r="AK59" i="2"/>
  <c r="AD59" i="2"/>
  <c r="AE59" i="2"/>
  <c r="X59" i="2"/>
  <c r="AF59" i="2"/>
  <c r="Y59" i="2"/>
  <c r="AG59" i="2"/>
  <c r="AA59" i="2"/>
  <c r="AI59" i="2"/>
  <c r="AB59" i="2"/>
  <c r="AH59" i="2"/>
  <c r="AJ59" i="2"/>
  <c r="Z59" i="2"/>
  <c r="AC51" i="2"/>
  <c r="AK51" i="2"/>
  <c r="AD51" i="2"/>
  <c r="AE51" i="2"/>
  <c r="X51" i="2"/>
  <c r="AF51" i="2"/>
  <c r="Y51" i="2"/>
  <c r="AG51" i="2"/>
  <c r="AA51" i="2"/>
  <c r="AI51" i="2"/>
  <c r="Z51" i="2"/>
  <c r="AB51" i="2"/>
  <c r="AJ51" i="2"/>
  <c r="AH51" i="2"/>
  <c r="AC43" i="2"/>
  <c r="AK43" i="2"/>
  <c r="AD43" i="2"/>
  <c r="AE43" i="2"/>
  <c r="X43" i="2"/>
  <c r="AF43" i="2"/>
  <c r="Y43" i="2"/>
  <c r="AG43" i="2"/>
  <c r="AA43" i="2"/>
  <c r="AI43" i="2"/>
  <c r="AB43" i="2"/>
  <c r="AH43" i="2"/>
  <c r="AJ43" i="2"/>
  <c r="Z43" i="2"/>
  <c r="AC35" i="2"/>
  <c r="AK35" i="2"/>
  <c r="AD35" i="2"/>
  <c r="AE35" i="2"/>
  <c r="X35" i="2"/>
  <c r="AF35" i="2"/>
  <c r="Y35" i="2"/>
  <c r="AG35" i="2"/>
  <c r="AA35" i="2"/>
  <c r="AI35" i="2"/>
  <c r="Z35" i="2"/>
  <c r="AB35" i="2"/>
  <c r="AJ35" i="2"/>
  <c r="AC27" i="2"/>
  <c r="AK27" i="2"/>
  <c r="AD27" i="2"/>
  <c r="AE27" i="2"/>
  <c r="X27" i="2"/>
  <c r="AF27" i="2"/>
  <c r="Y27" i="2"/>
  <c r="AG27" i="2"/>
  <c r="AA27" i="2"/>
  <c r="AI27" i="2"/>
  <c r="AB27" i="2"/>
  <c r="AH27" i="2"/>
  <c r="AJ27" i="2"/>
  <c r="Z27" i="2"/>
  <c r="AC19" i="2"/>
  <c r="AK19" i="2"/>
  <c r="AD19" i="2"/>
  <c r="AE19" i="2"/>
  <c r="X19" i="2"/>
  <c r="AF19" i="2"/>
  <c r="Y19" i="2"/>
  <c r="AG19" i="2"/>
  <c r="AA19" i="2"/>
  <c r="AI19" i="2"/>
  <c r="Z19" i="2"/>
  <c r="AB19" i="2"/>
  <c r="AJ19" i="2"/>
  <c r="AH19" i="2"/>
  <c r="AC11" i="2"/>
  <c r="AK11" i="2"/>
  <c r="AD11" i="2"/>
  <c r="AE11" i="2"/>
  <c r="X11" i="2"/>
  <c r="AF11" i="2"/>
  <c r="Y11" i="2"/>
  <c r="AG11" i="2"/>
  <c r="AA11" i="2"/>
  <c r="AI11" i="2"/>
  <c r="AB11" i="2"/>
  <c r="AH11" i="2"/>
  <c r="AJ11" i="2"/>
  <c r="Z11" i="2"/>
  <c r="AQ265" i="2"/>
  <c r="AY265" i="2"/>
  <c r="AR265" i="2"/>
  <c r="AS265" i="2"/>
  <c r="AL265" i="2"/>
  <c r="AT265" i="2"/>
  <c r="AM265" i="2"/>
  <c r="AU265" i="2"/>
  <c r="AO265" i="2"/>
  <c r="AW265" i="2"/>
  <c r="AN265" i="2"/>
  <c r="AP265" i="2"/>
  <c r="AV265" i="2"/>
  <c r="AX265" i="2"/>
  <c r="AQ257" i="2"/>
  <c r="AY257" i="2"/>
  <c r="AR257" i="2"/>
  <c r="AS257" i="2"/>
  <c r="AL257" i="2"/>
  <c r="AT257" i="2"/>
  <c r="AM257" i="2"/>
  <c r="AU257" i="2"/>
  <c r="AO257" i="2"/>
  <c r="AW257" i="2"/>
  <c r="AN257" i="2"/>
  <c r="AV257" i="2"/>
  <c r="AP257" i="2"/>
  <c r="AX257" i="2"/>
  <c r="AQ249" i="2"/>
  <c r="AY249" i="2"/>
  <c r="AR249" i="2"/>
  <c r="AS249" i="2"/>
  <c r="AL249" i="2"/>
  <c r="AT249" i="2"/>
  <c r="AM249" i="2"/>
  <c r="AU249" i="2"/>
  <c r="AO249" i="2"/>
  <c r="AW249" i="2"/>
  <c r="AN249" i="2"/>
  <c r="AP249" i="2"/>
  <c r="AV249" i="2"/>
  <c r="AX249" i="2"/>
  <c r="AQ241" i="2"/>
  <c r="AY241" i="2"/>
  <c r="AR241" i="2"/>
  <c r="AS241" i="2"/>
  <c r="AL241" i="2"/>
  <c r="AT241" i="2"/>
  <c r="AM241" i="2"/>
  <c r="AU241" i="2"/>
  <c r="AO241" i="2"/>
  <c r="AW241" i="2"/>
  <c r="AN241" i="2"/>
  <c r="AV241" i="2"/>
  <c r="AP241" i="2"/>
  <c r="AX241" i="2"/>
  <c r="AQ233" i="2"/>
  <c r="AY233" i="2"/>
  <c r="AR233" i="2"/>
  <c r="AS233" i="2"/>
  <c r="AL233" i="2"/>
  <c r="AT233" i="2"/>
  <c r="AM233" i="2"/>
  <c r="AU233" i="2"/>
  <c r="AO233" i="2"/>
  <c r="AW233" i="2"/>
  <c r="AN233" i="2"/>
  <c r="AP233" i="2"/>
  <c r="AV233" i="2"/>
  <c r="AX233" i="2"/>
  <c r="AQ225" i="2"/>
  <c r="AY225" i="2"/>
  <c r="AR225" i="2"/>
  <c r="AS225" i="2"/>
  <c r="AL225" i="2"/>
  <c r="AT225" i="2"/>
  <c r="AM225" i="2"/>
  <c r="AU225" i="2"/>
  <c r="AO225" i="2"/>
  <c r="AW225" i="2"/>
  <c r="AN225" i="2"/>
  <c r="AV225" i="2"/>
  <c r="AP225" i="2"/>
  <c r="AX225" i="2"/>
  <c r="AQ217" i="2"/>
  <c r="AY217" i="2"/>
  <c r="AR217" i="2"/>
  <c r="AS217" i="2"/>
  <c r="AL217" i="2"/>
  <c r="AT217" i="2"/>
  <c r="AM217" i="2"/>
  <c r="AU217" i="2"/>
  <c r="AO217" i="2"/>
  <c r="AW217" i="2"/>
  <c r="AN217" i="2"/>
  <c r="AP217" i="2"/>
  <c r="AV217" i="2"/>
  <c r="AX217" i="2"/>
  <c r="AQ209" i="2"/>
  <c r="AY209" i="2"/>
  <c r="AR209" i="2"/>
  <c r="AS209" i="2"/>
  <c r="AL209" i="2"/>
  <c r="AT209" i="2"/>
  <c r="AM209" i="2"/>
  <c r="AU209" i="2"/>
  <c r="AO209" i="2"/>
  <c r="AW209" i="2"/>
  <c r="AN209" i="2"/>
  <c r="AV209" i="2"/>
  <c r="AP209" i="2"/>
  <c r="AX209" i="2"/>
  <c r="AQ201" i="2"/>
  <c r="AY201" i="2"/>
  <c r="AR201" i="2"/>
  <c r="AS201" i="2"/>
  <c r="AL201" i="2"/>
  <c r="AT201" i="2"/>
  <c r="AM201" i="2"/>
  <c r="AU201" i="2"/>
  <c r="AO201" i="2"/>
  <c r="AW201" i="2"/>
  <c r="AN201" i="2"/>
  <c r="AP201" i="2"/>
  <c r="AV201" i="2"/>
  <c r="AX201" i="2"/>
  <c r="AQ193" i="2"/>
  <c r="AY193" i="2"/>
  <c r="AR193" i="2"/>
  <c r="AS193" i="2"/>
  <c r="AL193" i="2"/>
  <c r="AT193" i="2"/>
  <c r="AM193" i="2"/>
  <c r="AU193" i="2"/>
  <c r="AO193" i="2"/>
  <c r="AW193" i="2"/>
  <c r="AN193" i="2"/>
  <c r="AV193" i="2"/>
  <c r="AP193" i="2"/>
  <c r="AX193" i="2"/>
  <c r="AQ185" i="2"/>
  <c r="AS185" i="2"/>
  <c r="AL185" i="2"/>
  <c r="AM185" i="2"/>
  <c r="AO185" i="2"/>
  <c r="AN185" i="2"/>
  <c r="AY185" i="2"/>
  <c r="AP185" i="2"/>
  <c r="AR185" i="2"/>
  <c r="AT185" i="2"/>
  <c r="AU185" i="2"/>
  <c r="AW185" i="2"/>
  <c r="AV185" i="2"/>
  <c r="AX185" i="2"/>
  <c r="AQ177" i="2"/>
  <c r="AY177" i="2"/>
  <c r="AR177" i="2"/>
  <c r="AS177" i="2"/>
  <c r="AL177" i="2"/>
  <c r="AT177" i="2"/>
  <c r="AM177" i="2"/>
  <c r="AU177" i="2"/>
  <c r="AO177" i="2"/>
  <c r="AW177" i="2"/>
  <c r="AN177" i="2"/>
  <c r="AV177" i="2"/>
  <c r="AP177" i="2"/>
  <c r="AX177" i="2"/>
  <c r="AQ169" i="2"/>
  <c r="AY169" i="2"/>
  <c r="AR169" i="2"/>
  <c r="AS169" i="2"/>
  <c r="AL169" i="2"/>
  <c r="AT169" i="2"/>
  <c r="AM169" i="2"/>
  <c r="AU169" i="2"/>
  <c r="AO169" i="2"/>
  <c r="AW169" i="2"/>
  <c r="AN169" i="2"/>
  <c r="AP169" i="2"/>
  <c r="AV169" i="2"/>
  <c r="AX169" i="2"/>
  <c r="AQ161" i="2"/>
  <c r="AY161" i="2"/>
  <c r="AR161" i="2"/>
  <c r="AS161" i="2"/>
  <c r="AL161" i="2"/>
  <c r="AT161" i="2"/>
  <c r="AM161" i="2"/>
  <c r="AU161" i="2"/>
  <c r="AO161" i="2"/>
  <c r="AW161" i="2"/>
  <c r="AN161" i="2"/>
  <c r="AV161" i="2"/>
  <c r="AP161" i="2"/>
  <c r="AX161" i="2"/>
  <c r="AQ153" i="2"/>
  <c r="AY153" i="2"/>
  <c r="AR153" i="2"/>
  <c r="AS153" i="2"/>
  <c r="AL153" i="2"/>
  <c r="AT153" i="2"/>
  <c r="AM153" i="2"/>
  <c r="AU153" i="2"/>
  <c r="AO153" i="2"/>
  <c r="AW153" i="2"/>
  <c r="AN153" i="2"/>
  <c r="AP153" i="2"/>
  <c r="AV153" i="2"/>
  <c r="AX153" i="2"/>
  <c r="AR145" i="2"/>
  <c r="AS145" i="2"/>
  <c r="AL145" i="2"/>
  <c r="AT145" i="2"/>
  <c r="AM145" i="2"/>
  <c r="AU145" i="2"/>
  <c r="AN145" i="2"/>
  <c r="AV145" i="2"/>
  <c r="AO145" i="2"/>
  <c r="AW145" i="2"/>
  <c r="AP145" i="2"/>
  <c r="AX145" i="2"/>
  <c r="AQ145" i="2"/>
  <c r="AY145" i="2"/>
  <c r="AR137" i="2"/>
  <c r="AS137" i="2"/>
  <c r="AL137" i="2"/>
  <c r="AT137" i="2"/>
  <c r="AM137" i="2"/>
  <c r="AU137" i="2"/>
  <c r="AN137" i="2"/>
  <c r="AV137" i="2"/>
  <c r="AO137" i="2"/>
  <c r="AW137" i="2"/>
  <c r="AP137" i="2"/>
  <c r="AQ137" i="2"/>
  <c r="AX137" i="2"/>
  <c r="AY137" i="2"/>
  <c r="AR129" i="2"/>
  <c r="AS129" i="2"/>
  <c r="AL129" i="2"/>
  <c r="AT129" i="2"/>
  <c r="AM129" i="2"/>
  <c r="AU129" i="2"/>
  <c r="AN129" i="2"/>
  <c r="AV129" i="2"/>
  <c r="AO129" i="2"/>
  <c r="AW129" i="2"/>
  <c r="AP129" i="2"/>
  <c r="AX129" i="2"/>
  <c r="AQ129" i="2"/>
  <c r="AY129" i="2"/>
  <c r="AS121" i="2"/>
  <c r="AN121" i="2"/>
  <c r="AV121" i="2"/>
  <c r="AO121" i="2"/>
  <c r="AW121" i="2"/>
  <c r="AQ121" i="2"/>
  <c r="AY121" i="2"/>
  <c r="AX121" i="2"/>
  <c r="AL121" i="2"/>
  <c r="AM121" i="2"/>
  <c r="AP121" i="2"/>
  <c r="AR121" i="2"/>
  <c r="AT121" i="2"/>
  <c r="AU121" i="2"/>
  <c r="AS113" i="2"/>
  <c r="AN113" i="2"/>
  <c r="AV113" i="2"/>
  <c r="AO113" i="2"/>
  <c r="AW113" i="2"/>
  <c r="AQ113" i="2"/>
  <c r="AY113" i="2"/>
  <c r="AX113" i="2"/>
  <c r="AL113" i="2"/>
  <c r="AM113" i="2"/>
  <c r="AP113" i="2"/>
  <c r="AR113" i="2"/>
  <c r="AT113" i="2"/>
  <c r="AU113" i="2"/>
  <c r="AS105" i="2"/>
  <c r="AN105" i="2"/>
  <c r="AV105" i="2"/>
  <c r="AO105" i="2"/>
  <c r="AW105" i="2"/>
  <c r="AQ105" i="2"/>
  <c r="AY105" i="2"/>
  <c r="AX105" i="2"/>
  <c r="AL105" i="2"/>
  <c r="AM105" i="2"/>
  <c r="AP105" i="2"/>
  <c r="AR105" i="2"/>
  <c r="AT105" i="2"/>
  <c r="AU105" i="2"/>
  <c r="AS97" i="2"/>
  <c r="AN97" i="2"/>
  <c r="AV97" i="2"/>
  <c r="AO97" i="2"/>
  <c r="AW97" i="2"/>
  <c r="AQ97" i="2"/>
  <c r="AY97" i="2"/>
  <c r="AX97" i="2"/>
  <c r="AL97" i="2"/>
  <c r="AM97" i="2"/>
  <c r="AP97" i="2"/>
  <c r="AR97" i="2"/>
  <c r="AT97" i="2"/>
  <c r="AU97" i="2"/>
  <c r="AS89" i="2"/>
  <c r="AN89" i="2"/>
  <c r="AV89" i="2"/>
  <c r="AO89" i="2"/>
  <c r="AW89" i="2"/>
  <c r="AQ89" i="2"/>
  <c r="AY89" i="2"/>
  <c r="AX89" i="2"/>
  <c r="AL89" i="2"/>
  <c r="AM89" i="2"/>
  <c r="AP89" i="2"/>
  <c r="AR89" i="2"/>
  <c r="AT89" i="2"/>
  <c r="AU89" i="2"/>
  <c r="AQ81" i="2"/>
  <c r="AY81" i="2"/>
  <c r="AR81" i="2"/>
  <c r="AS81" i="2"/>
  <c r="AL81" i="2"/>
  <c r="AT81" i="2"/>
  <c r="AM81" i="2"/>
  <c r="AU81" i="2"/>
  <c r="AO81" i="2"/>
  <c r="AW81" i="2"/>
  <c r="AN81" i="2"/>
  <c r="AX81" i="2"/>
  <c r="AP81" i="2"/>
  <c r="AV81" i="2"/>
  <c r="AQ73" i="2"/>
  <c r="AY73" i="2"/>
  <c r="AR73" i="2"/>
  <c r="AS73" i="2"/>
  <c r="AL73" i="2"/>
  <c r="AT73" i="2"/>
  <c r="AM73" i="2"/>
  <c r="AU73" i="2"/>
  <c r="AO73" i="2"/>
  <c r="AW73" i="2"/>
  <c r="AN73" i="2"/>
  <c r="AV73" i="2"/>
  <c r="AP73" i="2"/>
  <c r="AX73" i="2"/>
  <c r="AQ65" i="2"/>
  <c r="AY65" i="2"/>
  <c r="AR65" i="2"/>
  <c r="AS65" i="2"/>
  <c r="AL65" i="2"/>
  <c r="AT65" i="2"/>
  <c r="AM65" i="2"/>
  <c r="AU65" i="2"/>
  <c r="AO65" i="2"/>
  <c r="AW65" i="2"/>
  <c r="AN65" i="2"/>
  <c r="AP65" i="2"/>
  <c r="AV65" i="2"/>
  <c r="AX65" i="2"/>
  <c r="AQ57" i="2"/>
  <c r="AY57" i="2"/>
  <c r="AR57" i="2"/>
  <c r="AS57" i="2"/>
  <c r="AL57" i="2"/>
  <c r="AT57" i="2"/>
  <c r="AM57" i="2"/>
  <c r="AU57" i="2"/>
  <c r="AO57" i="2"/>
  <c r="AW57" i="2"/>
  <c r="AN57" i="2"/>
  <c r="AV57" i="2"/>
  <c r="AP57" i="2"/>
  <c r="AX57" i="2"/>
  <c r="AO49" i="2"/>
  <c r="AW49" i="2"/>
  <c r="AQ49" i="2"/>
  <c r="AY49" i="2"/>
  <c r="AR49" i="2"/>
  <c r="AS49" i="2"/>
  <c r="AL49" i="2"/>
  <c r="AT49" i="2"/>
  <c r="AM49" i="2"/>
  <c r="AN49" i="2"/>
  <c r="AP49" i="2"/>
  <c r="AV49" i="2"/>
  <c r="AU49" i="2"/>
  <c r="AX49" i="2"/>
  <c r="AO41" i="2"/>
  <c r="AW41" i="2"/>
  <c r="AQ41" i="2"/>
  <c r="AY41" i="2"/>
  <c r="AR41" i="2"/>
  <c r="AS41" i="2"/>
  <c r="AL41" i="2"/>
  <c r="AT41" i="2"/>
  <c r="AM41" i="2"/>
  <c r="AN41" i="2"/>
  <c r="AP41" i="2"/>
  <c r="AU41" i="2"/>
  <c r="AV41" i="2"/>
  <c r="AX41" i="2"/>
  <c r="AO33" i="2"/>
  <c r="AW33" i="2"/>
  <c r="AQ33" i="2"/>
  <c r="AY33" i="2"/>
  <c r="AR33" i="2"/>
  <c r="AS33" i="2"/>
  <c r="AL33" i="2"/>
  <c r="AT33" i="2"/>
  <c r="AP33" i="2"/>
  <c r="AU33" i="2"/>
  <c r="AV33" i="2"/>
  <c r="AX33" i="2"/>
  <c r="AM33" i="2"/>
  <c r="AN33" i="2"/>
  <c r="AO25" i="2"/>
  <c r="AW25" i="2"/>
  <c r="AQ25" i="2"/>
  <c r="AY25" i="2"/>
  <c r="AR25" i="2"/>
  <c r="AS25" i="2"/>
  <c r="AL25" i="2"/>
  <c r="AT25" i="2"/>
  <c r="AV25" i="2"/>
  <c r="AX25" i="2"/>
  <c r="AM25" i="2"/>
  <c r="AP25" i="2"/>
  <c r="AN25" i="2"/>
  <c r="AU25" i="2"/>
  <c r="AO17" i="2"/>
  <c r="AW17" i="2"/>
  <c r="AQ17" i="2"/>
  <c r="AY17" i="2"/>
  <c r="AR17" i="2"/>
  <c r="AS17" i="2"/>
  <c r="AL17" i="2"/>
  <c r="AT17" i="2"/>
  <c r="AM17" i="2"/>
  <c r="AN17" i="2"/>
  <c r="AP17" i="2"/>
  <c r="AV17" i="2"/>
  <c r="AU17" i="2"/>
  <c r="AX17" i="2"/>
  <c r="AN9" i="2"/>
  <c r="AV9" i="2"/>
  <c r="AO9" i="2"/>
  <c r="AW9" i="2"/>
  <c r="AP9" i="2"/>
  <c r="AX9" i="2"/>
  <c r="AQ9" i="2"/>
  <c r="AY9" i="2"/>
  <c r="AR9" i="2"/>
  <c r="AS9" i="2"/>
  <c r="AL9" i="2"/>
  <c r="AT9" i="2"/>
  <c r="AM9" i="2"/>
  <c r="AU9" i="2"/>
  <c r="AK3" i="2"/>
  <c r="AC3" i="2"/>
  <c r="AB272" i="2"/>
  <c r="AE271" i="2"/>
  <c r="AI270" i="2"/>
  <c r="AK268" i="2"/>
  <c r="AC267" i="2"/>
  <c r="AK265" i="2"/>
  <c r="AC264" i="2"/>
  <c r="AI262" i="2"/>
  <c r="AK260" i="2"/>
  <c r="AC256" i="2"/>
  <c r="Y254" i="2"/>
  <c r="AI251" i="2"/>
  <c r="AE249" i="2"/>
  <c r="AA247" i="2"/>
  <c r="AK244" i="2"/>
  <c r="AC240" i="2"/>
  <c r="Y238" i="2"/>
  <c r="AI235" i="2"/>
  <c r="AE233" i="2"/>
  <c r="AA231" i="2"/>
  <c r="AK228" i="2"/>
  <c r="Y222" i="2"/>
  <c r="AI219" i="2"/>
  <c r="AE217" i="2"/>
  <c r="AB213" i="2"/>
  <c r="AH208" i="2"/>
  <c r="Z204" i="2"/>
  <c r="AF199" i="2"/>
  <c r="X195" i="2"/>
  <c r="AD190" i="2"/>
  <c r="AJ185" i="2"/>
  <c r="AB181" i="2"/>
  <c r="AH176" i="2"/>
  <c r="Z172" i="2"/>
  <c r="AF167" i="2"/>
  <c r="X163" i="2"/>
  <c r="AD158" i="2"/>
  <c r="AJ153" i="2"/>
  <c r="AB149" i="2"/>
  <c r="AC128" i="2"/>
  <c r="AK103" i="2"/>
  <c r="AI79" i="2"/>
  <c r="AD224" i="2"/>
  <c r="AE224" i="2"/>
  <c r="X224" i="2"/>
  <c r="AF224" i="2"/>
  <c r="Y224" i="2"/>
  <c r="AG224" i="2"/>
  <c r="Z224" i="2"/>
  <c r="AH224" i="2"/>
  <c r="AB224" i="2"/>
  <c r="AJ224" i="2"/>
  <c r="AA200" i="2"/>
  <c r="AI200" i="2"/>
  <c r="AB200" i="2"/>
  <c r="AJ200" i="2"/>
  <c r="AD200" i="2"/>
  <c r="Y200" i="2"/>
  <c r="AG200" i="2"/>
  <c r="AK200" i="2"/>
  <c r="X200" i="2"/>
  <c r="Z200" i="2"/>
  <c r="AC200" i="2"/>
  <c r="AF200" i="2"/>
  <c r="X144" i="2"/>
  <c r="Y144" i="2"/>
  <c r="AA144" i="2"/>
  <c r="AI144" i="2"/>
  <c r="AB144" i="2"/>
  <c r="AJ144" i="2"/>
  <c r="AD144" i="2"/>
  <c r="AG144" i="2"/>
  <c r="AK144" i="2"/>
  <c r="Z144" i="2"/>
  <c r="AC144" i="2"/>
  <c r="AF144" i="2"/>
  <c r="X96" i="2"/>
  <c r="AF96" i="2"/>
  <c r="Y96" i="2"/>
  <c r="AG96" i="2"/>
  <c r="Z96" i="2"/>
  <c r="AH96" i="2"/>
  <c r="AA96" i="2"/>
  <c r="AI96" i="2"/>
  <c r="AB96" i="2"/>
  <c r="AJ96" i="2"/>
  <c r="AD96" i="2"/>
  <c r="AE96" i="2"/>
  <c r="AK96" i="2"/>
  <c r="AE48" i="2"/>
  <c r="X48" i="2"/>
  <c r="AF48" i="2"/>
  <c r="Y48" i="2"/>
  <c r="AG48" i="2"/>
  <c r="Z48" i="2"/>
  <c r="AH48" i="2"/>
  <c r="AA48" i="2"/>
  <c r="AI48" i="2"/>
  <c r="AC48" i="2"/>
  <c r="AK48" i="2"/>
  <c r="AB48" i="2"/>
  <c r="AD48" i="2"/>
  <c r="AJ48" i="2"/>
  <c r="AL270" i="2"/>
  <c r="AM270" i="2"/>
  <c r="AO270" i="2"/>
  <c r="AQ270" i="2"/>
  <c r="AW270" i="2"/>
  <c r="AN270" i="2"/>
  <c r="AX270" i="2"/>
  <c r="AP270" i="2"/>
  <c r="AY270" i="2"/>
  <c r="AR270" i="2"/>
  <c r="AS270" i="2"/>
  <c r="AU270" i="2"/>
  <c r="AT270" i="2"/>
  <c r="AV270" i="2"/>
  <c r="AS190" i="2"/>
  <c r="AL190" i="2"/>
  <c r="AT190" i="2"/>
  <c r="AM190" i="2"/>
  <c r="AU190" i="2"/>
  <c r="AN190" i="2"/>
  <c r="AV190" i="2"/>
  <c r="AO190" i="2"/>
  <c r="AW190" i="2"/>
  <c r="AQ190" i="2"/>
  <c r="AY190" i="2"/>
  <c r="AP190" i="2"/>
  <c r="AR190" i="2"/>
  <c r="AX190" i="2"/>
  <c r="Z270" i="2"/>
  <c r="AH270" i="2"/>
  <c r="AD270" i="2"/>
  <c r="AE214" i="2"/>
  <c r="X214" i="2"/>
  <c r="AF214" i="2"/>
  <c r="Z214" i="2"/>
  <c r="AH214" i="2"/>
  <c r="AC214" i="2"/>
  <c r="AK214" i="2"/>
  <c r="AG214" i="2"/>
  <c r="AI214" i="2"/>
  <c r="AJ214" i="2"/>
  <c r="Y214" i="2"/>
  <c r="AB214" i="2"/>
  <c r="AE206" i="2"/>
  <c r="X206" i="2"/>
  <c r="AF206" i="2"/>
  <c r="Z206" i="2"/>
  <c r="AH206" i="2"/>
  <c r="AC206" i="2"/>
  <c r="AK206" i="2"/>
  <c r="AG206" i="2"/>
  <c r="AI206" i="2"/>
  <c r="AJ206" i="2"/>
  <c r="Y206" i="2"/>
  <c r="AB206" i="2"/>
  <c r="AE182" i="2"/>
  <c r="X182" i="2"/>
  <c r="AF182" i="2"/>
  <c r="Z182" i="2"/>
  <c r="AH182" i="2"/>
  <c r="AC182" i="2"/>
  <c r="AK182" i="2"/>
  <c r="AG182" i="2"/>
  <c r="AI182" i="2"/>
  <c r="AJ182" i="2"/>
  <c r="Y182" i="2"/>
  <c r="AB182" i="2"/>
  <c r="AB78" i="2"/>
  <c r="AJ78" i="2"/>
  <c r="AC78" i="2"/>
  <c r="AK78" i="2"/>
  <c r="AD78" i="2"/>
  <c r="AE78" i="2"/>
  <c r="X78" i="2"/>
  <c r="AF78" i="2"/>
  <c r="Z78" i="2"/>
  <c r="AH78" i="2"/>
  <c r="AA78" i="2"/>
  <c r="AG78" i="2"/>
  <c r="AI78" i="2"/>
  <c r="AA70" i="2"/>
  <c r="AI70" i="2"/>
  <c r="AC70" i="2"/>
  <c r="AK70" i="2"/>
  <c r="AD70" i="2"/>
  <c r="AE70" i="2"/>
  <c r="Y70" i="2"/>
  <c r="AG70" i="2"/>
  <c r="X70" i="2"/>
  <c r="Z70" i="2"/>
  <c r="AB70" i="2"/>
  <c r="AH70" i="2"/>
  <c r="AF70" i="2"/>
  <c r="AJ70" i="2"/>
  <c r="AA22" i="2"/>
  <c r="AI22" i="2"/>
  <c r="AB22" i="2"/>
  <c r="AJ22" i="2"/>
  <c r="AC22" i="2"/>
  <c r="AK22" i="2"/>
  <c r="AD22" i="2"/>
  <c r="AE22" i="2"/>
  <c r="Y22" i="2"/>
  <c r="AG22" i="2"/>
  <c r="AH22" i="2"/>
  <c r="Z22" i="2"/>
  <c r="X22" i="2"/>
  <c r="AF22" i="2"/>
  <c r="AO260" i="2"/>
  <c r="AW260" i="2"/>
  <c r="AP260" i="2"/>
  <c r="AX260" i="2"/>
  <c r="AQ260" i="2"/>
  <c r="AY260" i="2"/>
  <c r="AR260" i="2"/>
  <c r="AS260" i="2"/>
  <c r="AM260" i="2"/>
  <c r="AU260" i="2"/>
  <c r="AT260" i="2"/>
  <c r="AV260" i="2"/>
  <c r="AL260" i="2"/>
  <c r="AN260" i="2"/>
  <c r="AO252" i="2"/>
  <c r="AW252" i="2"/>
  <c r="AP252" i="2"/>
  <c r="AX252" i="2"/>
  <c r="AQ252" i="2"/>
  <c r="AY252" i="2"/>
  <c r="AR252" i="2"/>
  <c r="AS252" i="2"/>
  <c r="AM252" i="2"/>
  <c r="AU252" i="2"/>
  <c r="AL252" i="2"/>
  <c r="AN252" i="2"/>
  <c r="AT252" i="2"/>
  <c r="AV252" i="2"/>
  <c r="AO228" i="2"/>
  <c r="AW228" i="2"/>
  <c r="AP228" i="2"/>
  <c r="AX228" i="2"/>
  <c r="AQ228" i="2"/>
  <c r="AY228" i="2"/>
  <c r="AR228" i="2"/>
  <c r="AS228" i="2"/>
  <c r="AM228" i="2"/>
  <c r="AU228" i="2"/>
  <c r="AT228" i="2"/>
  <c r="AV228" i="2"/>
  <c r="AL228" i="2"/>
  <c r="AN228" i="2"/>
  <c r="AO204" i="2"/>
  <c r="AW204" i="2"/>
  <c r="AP204" i="2"/>
  <c r="AX204" i="2"/>
  <c r="AQ204" i="2"/>
  <c r="AY204" i="2"/>
  <c r="AR204" i="2"/>
  <c r="AS204" i="2"/>
  <c r="AM204" i="2"/>
  <c r="AU204" i="2"/>
  <c r="AL204" i="2"/>
  <c r="AN204" i="2"/>
  <c r="AT204" i="2"/>
  <c r="AV204" i="2"/>
  <c r="AO164" i="2"/>
  <c r="AW164" i="2"/>
  <c r="AP164" i="2"/>
  <c r="AX164" i="2"/>
  <c r="AQ164" i="2"/>
  <c r="AY164" i="2"/>
  <c r="AR164" i="2"/>
  <c r="AS164" i="2"/>
  <c r="AM164" i="2"/>
  <c r="AU164" i="2"/>
  <c r="AT164" i="2"/>
  <c r="AV164" i="2"/>
  <c r="AL164" i="2"/>
  <c r="AN164" i="2"/>
  <c r="AQ92" i="2"/>
  <c r="AY92" i="2"/>
  <c r="AL92" i="2"/>
  <c r="AT92" i="2"/>
  <c r="AM92" i="2"/>
  <c r="AU92" i="2"/>
  <c r="AO92" i="2"/>
  <c r="AW92" i="2"/>
  <c r="AN92" i="2"/>
  <c r="AP92" i="2"/>
  <c r="AR92" i="2"/>
  <c r="AS92" i="2"/>
  <c r="AV92" i="2"/>
  <c r="AX92" i="2"/>
  <c r="AM52" i="2"/>
  <c r="AO52" i="2"/>
  <c r="AP52" i="2"/>
  <c r="AQ52" i="2"/>
  <c r="AR52" i="2"/>
  <c r="AW52" i="2"/>
  <c r="AX52" i="2"/>
  <c r="AL52" i="2"/>
  <c r="AY52" i="2"/>
  <c r="AN52" i="2"/>
  <c r="AS52" i="2"/>
  <c r="AU52" i="2"/>
  <c r="AT52" i="2"/>
  <c r="AV52" i="2"/>
  <c r="AE192" i="2"/>
  <c r="Z266" i="2"/>
  <c r="AH266" i="2"/>
  <c r="AB266" i="2"/>
  <c r="AJ266" i="2"/>
  <c r="AC266" i="2"/>
  <c r="AK266" i="2"/>
  <c r="AD266" i="2"/>
  <c r="X266" i="2"/>
  <c r="AF266" i="2"/>
  <c r="Z258" i="2"/>
  <c r="AH258" i="2"/>
  <c r="AA258" i="2"/>
  <c r="AI258" i="2"/>
  <c r="AB258" i="2"/>
  <c r="AJ258" i="2"/>
  <c r="AC258" i="2"/>
  <c r="AK258" i="2"/>
  <c r="AD258" i="2"/>
  <c r="X258" i="2"/>
  <c r="AF258" i="2"/>
  <c r="Z250" i="2"/>
  <c r="AH250" i="2"/>
  <c r="AA250" i="2"/>
  <c r="AI250" i="2"/>
  <c r="AB250" i="2"/>
  <c r="AJ250" i="2"/>
  <c r="AC250" i="2"/>
  <c r="AK250" i="2"/>
  <c r="AD250" i="2"/>
  <c r="X250" i="2"/>
  <c r="AF250" i="2"/>
  <c r="Z242" i="2"/>
  <c r="AH242" i="2"/>
  <c r="AA242" i="2"/>
  <c r="AI242" i="2"/>
  <c r="AB242" i="2"/>
  <c r="AJ242" i="2"/>
  <c r="AC242" i="2"/>
  <c r="AK242" i="2"/>
  <c r="AD242" i="2"/>
  <c r="X242" i="2"/>
  <c r="AF242" i="2"/>
  <c r="Z226" i="2"/>
  <c r="AH226" i="2"/>
  <c r="AA226" i="2"/>
  <c r="AI226" i="2"/>
  <c r="AB226" i="2"/>
  <c r="AJ226" i="2"/>
  <c r="AC226" i="2"/>
  <c r="AK226" i="2"/>
  <c r="AD226" i="2"/>
  <c r="X226" i="2"/>
  <c r="AF226" i="2"/>
  <c r="Z218" i="2"/>
  <c r="AH218" i="2"/>
  <c r="AA218" i="2"/>
  <c r="AI218" i="2"/>
  <c r="AB218" i="2"/>
  <c r="AJ218" i="2"/>
  <c r="AC218" i="2"/>
  <c r="AK218" i="2"/>
  <c r="AD218" i="2"/>
  <c r="X218" i="2"/>
  <c r="AF218" i="2"/>
  <c r="AE210" i="2"/>
  <c r="X210" i="2"/>
  <c r="AF210" i="2"/>
  <c r="Z210" i="2"/>
  <c r="AH210" i="2"/>
  <c r="AC210" i="2"/>
  <c r="AK210" i="2"/>
  <c r="Y210" i="2"/>
  <c r="AA210" i="2"/>
  <c r="AB210" i="2"/>
  <c r="AD210" i="2"/>
  <c r="AG210" i="2"/>
  <c r="AJ210" i="2"/>
  <c r="AE202" i="2"/>
  <c r="X202" i="2"/>
  <c r="AF202" i="2"/>
  <c r="Z202" i="2"/>
  <c r="AH202" i="2"/>
  <c r="AC202" i="2"/>
  <c r="AK202" i="2"/>
  <c r="Y202" i="2"/>
  <c r="AA202" i="2"/>
  <c r="AB202" i="2"/>
  <c r="AD202" i="2"/>
  <c r="AG202" i="2"/>
  <c r="AJ202" i="2"/>
  <c r="AE194" i="2"/>
  <c r="X194" i="2"/>
  <c r="AF194" i="2"/>
  <c r="Z194" i="2"/>
  <c r="AH194" i="2"/>
  <c r="AC194" i="2"/>
  <c r="AK194" i="2"/>
  <c r="Y194" i="2"/>
  <c r="AA194" i="2"/>
  <c r="AB194" i="2"/>
  <c r="AD194" i="2"/>
  <c r="AG194" i="2"/>
  <c r="AJ194" i="2"/>
  <c r="AE186" i="2"/>
  <c r="X186" i="2"/>
  <c r="AF186" i="2"/>
  <c r="Z186" i="2"/>
  <c r="AH186" i="2"/>
  <c r="AC186" i="2"/>
  <c r="AK186" i="2"/>
  <c r="Y186" i="2"/>
  <c r="AA186" i="2"/>
  <c r="AB186" i="2"/>
  <c r="AD186" i="2"/>
  <c r="AG186" i="2"/>
  <c r="AJ186" i="2"/>
  <c r="AE178" i="2"/>
  <c r="X178" i="2"/>
  <c r="AF178" i="2"/>
  <c r="Z178" i="2"/>
  <c r="AH178" i="2"/>
  <c r="AC178" i="2"/>
  <c r="AK178" i="2"/>
  <c r="Y178" i="2"/>
  <c r="AA178" i="2"/>
  <c r="AB178" i="2"/>
  <c r="AD178" i="2"/>
  <c r="AG178" i="2"/>
  <c r="AJ178" i="2"/>
  <c r="AE170" i="2"/>
  <c r="X170" i="2"/>
  <c r="AF170" i="2"/>
  <c r="Z170" i="2"/>
  <c r="AH170" i="2"/>
  <c r="AC170" i="2"/>
  <c r="AK170" i="2"/>
  <c r="Y170" i="2"/>
  <c r="AA170" i="2"/>
  <c r="AB170" i="2"/>
  <c r="AD170" i="2"/>
  <c r="AG170" i="2"/>
  <c r="AJ170" i="2"/>
  <c r="AE162" i="2"/>
  <c r="X162" i="2"/>
  <c r="AF162" i="2"/>
  <c r="Z162" i="2"/>
  <c r="AH162" i="2"/>
  <c r="AC162" i="2"/>
  <c r="AK162" i="2"/>
  <c r="Y162" i="2"/>
  <c r="AA162" i="2"/>
  <c r="AB162" i="2"/>
  <c r="AD162" i="2"/>
  <c r="AG162" i="2"/>
  <c r="AJ162" i="2"/>
  <c r="AE154" i="2"/>
  <c r="X154" i="2"/>
  <c r="AF154" i="2"/>
  <c r="Z154" i="2"/>
  <c r="AH154" i="2"/>
  <c r="AC154" i="2"/>
  <c r="AK154" i="2"/>
  <c r="Y154" i="2"/>
  <c r="AA154" i="2"/>
  <c r="AB154" i="2"/>
  <c r="AD154" i="2"/>
  <c r="AG154" i="2"/>
  <c r="AJ154" i="2"/>
  <c r="AE146" i="2"/>
  <c r="X146" i="2"/>
  <c r="AF146" i="2"/>
  <c r="Z146" i="2"/>
  <c r="AH146" i="2"/>
  <c r="AC146" i="2"/>
  <c r="AK146" i="2"/>
  <c r="Y146" i="2"/>
  <c r="AA146" i="2"/>
  <c r="AB146" i="2"/>
  <c r="AD146" i="2"/>
  <c r="AG146" i="2"/>
  <c r="AJ146" i="2"/>
  <c r="AB138" i="2"/>
  <c r="AJ138" i="2"/>
  <c r="AC138" i="2"/>
  <c r="AK138" i="2"/>
  <c r="AD138" i="2"/>
  <c r="AE138" i="2"/>
  <c r="X138" i="2"/>
  <c r="AF138" i="2"/>
  <c r="Z138" i="2"/>
  <c r="AH138" i="2"/>
  <c r="Y138" i="2"/>
  <c r="AG138" i="2"/>
  <c r="AA138" i="2"/>
  <c r="AI138" i="2"/>
  <c r="AB130" i="2"/>
  <c r="AJ130" i="2"/>
  <c r="AC130" i="2"/>
  <c r="AK130" i="2"/>
  <c r="AD130" i="2"/>
  <c r="AE130" i="2"/>
  <c r="X130" i="2"/>
  <c r="AF130" i="2"/>
  <c r="Z130" i="2"/>
  <c r="AH130" i="2"/>
  <c r="AI130" i="2"/>
  <c r="AA130" i="2"/>
  <c r="Y130" i="2"/>
  <c r="AG130" i="2"/>
  <c r="AB122" i="2"/>
  <c r="AJ122" i="2"/>
  <c r="AC122" i="2"/>
  <c r="AK122" i="2"/>
  <c r="AD122" i="2"/>
  <c r="AE122" i="2"/>
  <c r="X122" i="2"/>
  <c r="AF122" i="2"/>
  <c r="Z122" i="2"/>
  <c r="AH122" i="2"/>
  <c r="Y122" i="2"/>
  <c r="AG122" i="2"/>
  <c r="AI122" i="2"/>
  <c r="AB114" i="2"/>
  <c r="AJ114" i="2"/>
  <c r="AC114" i="2"/>
  <c r="AK114" i="2"/>
  <c r="AD114" i="2"/>
  <c r="AE114" i="2"/>
  <c r="X114" i="2"/>
  <c r="AF114" i="2"/>
  <c r="Z114" i="2"/>
  <c r="AH114" i="2"/>
  <c r="AI114" i="2"/>
  <c r="AA114" i="2"/>
  <c r="Y114" i="2"/>
  <c r="AB106" i="2"/>
  <c r="AJ106" i="2"/>
  <c r="AC106" i="2"/>
  <c r="AK106" i="2"/>
  <c r="AD106" i="2"/>
  <c r="AE106" i="2"/>
  <c r="X106" i="2"/>
  <c r="AF106" i="2"/>
  <c r="Z106" i="2"/>
  <c r="AH106" i="2"/>
  <c r="Y106" i="2"/>
  <c r="AG106" i="2"/>
  <c r="AI106" i="2"/>
  <c r="AA106" i="2"/>
  <c r="AB98" i="2"/>
  <c r="AJ98" i="2"/>
  <c r="AC98" i="2"/>
  <c r="AK98" i="2"/>
  <c r="AD98" i="2"/>
  <c r="AE98" i="2"/>
  <c r="X98" i="2"/>
  <c r="AF98" i="2"/>
  <c r="Z98" i="2"/>
  <c r="AH98" i="2"/>
  <c r="AI98" i="2"/>
  <c r="AA98" i="2"/>
  <c r="AG98" i="2"/>
  <c r="AB90" i="2"/>
  <c r="AJ90" i="2"/>
  <c r="AC90" i="2"/>
  <c r="AK90" i="2"/>
  <c r="AD90" i="2"/>
  <c r="AE90" i="2"/>
  <c r="X90" i="2"/>
  <c r="AF90" i="2"/>
  <c r="Z90" i="2"/>
  <c r="AH90" i="2"/>
  <c r="Y90" i="2"/>
  <c r="AG90" i="2"/>
  <c r="AI90" i="2"/>
  <c r="AB82" i="2"/>
  <c r="AJ82" i="2"/>
  <c r="AC82" i="2"/>
  <c r="AK82" i="2"/>
  <c r="AD82" i="2"/>
  <c r="AE82" i="2"/>
  <c r="X82" i="2"/>
  <c r="AF82" i="2"/>
  <c r="Z82" i="2"/>
  <c r="AH82" i="2"/>
  <c r="AI82" i="2"/>
  <c r="AA82" i="2"/>
  <c r="Y82" i="2"/>
  <c r="AG82" i="2"/>
  <c r="AB74" i="2"/>
  <c r="AJ74" i="2"/>
  <c r="AC74" i="2"/>
  <c r="AK74" i="2"/>
  <c r="AD74" i="2"/>
  <c r="AE74" i="2"/>
  <c r="X74" i="2"/>
  <c r="AF74" i="2"/>
  <c r="Z74" i="2"/>
  <c r="AH74" i="2"/>
  <c r="Y74" i="2"/>
  <c r="AG74" i="2"/>
  <c r="AI74" i="2"/>
  <c r="AA74" i="2"/>
  <c r="AA66" i="2"/>
  <c r="AI66" i="2"/>
  <c r="AC66" i="2"/>
  <c r="AK66" i="2"/>
  <c r="AD66" i="2"/>
  <c r="AE66" i="2"/>
  <c r="Y66" i="2"/>
  <c r="AG66" i="2"/>
  <c r="AF66" i="2"/>
  <c r="AH66" i="2"/>
  <c r="AJ66" i="2"/>
  <c r="Z66" i="2"/>
  <c r="X66" i="2"/>
  <c r="AB66" i="2"/>
  <c r="AA58" i="2"/>
  <c r="AI58" i="2"/>
  <c r="AB58" i="2"/>
  <c r="AJ58" i="2"/>
  <c r="AC58" i="2"/>
  <c r="AK58" i="2"/>
  <c r="AD58" i="2"/>
  <c r="AE58" i="2"/>
  <c r="Y58" i="2"/>
  <c r="AG58" i="2"/>
  <c r="X58" i="2"/>
  <c r="Z58" i="2"/>
  <c r="AH58" i="2"/>
  <c r="AF58" i="2"/>
  <c r="AA50" i="2"/>
  <c r="AI50" i="2"/>
  <c r="AB50" i="2"/>
  <c r="AJ50" i="2"/>
  <c r="AC50" i="2"/>
  <c r="AK50" i="2"/>
  <c r="AD50" i="2"/>
  <c r="AE50" i="2"/>
  <c r="Y50" i="2"/>
  <c r="AG50" i="2"/>
  <c r="Z50" i="2"/>
  <c r="AF50" i="2"/>
  <c r="AH50" i="2"/>
  <c r="X50" i="2"/>
  <c r="AA42" i="2"/>
  <c r="AI42" i="2"/>
  <c r="AB42" i="2"/>
  <c r="AJ42" i="2"/>
  <c r="AC42" i="2"/>
  <c r="AK42" i="2"/>
  <c r="AD42" i="2"/>
  <c r="AE42" i="2"/>
  <c r="Y42" i="2"/>
  <c r="AG42" i="2"/>
  <c r="X42" i="2"/>
  <c r="Z42" i="2"/>
  <c r="AH42" i="2"/>
  <c r="AF42" i="2"/>
  <c r="AA34" i="2"/>
  <c r="AI34" i="2"/>
  <c r="AB34" i="2"/>
  <c r="AJ34" i="2"/>
  <c r="AC34" i="2"/>
  <c r="AK34" i="2"/>
  <c r="AD34" i="2"/>
  <c r="AE34" i="2"/>
  <c r="Y34" i="2"/>
  <c r="AG34" i="2"/>
  <c r="Z34" i="2"/>
  <c r="AF34" i="2"/>
  <c r="AH34" i="2"/>
  <c r="X34" i="2"/>
  <c r="AA26" i="2"/>
  <c r="AI26" i="2"/>
  <c r="AB26" i="2"/>
  <c r="AJ26" i="2"/>
  <c r="AC26" i="2"/>
  <c r="AK26" i="2"/>
  <c r="AD26" i="2"/>
  <c r="AE26" i="2"/>
  <c r="Y26" i="2"/>
  <c r="AG26" i="2"/>
  <c r="X26" i="2"/>
  <c r="Z26" i="2"/>
  <c r="AH26" i="2"/>
  <c r="AF26" i="2"/>
  <c r="AA18" i="2"/>
  <c r="AI18" i="2"/>
  <c r="AB18" i="2"/>
  <c r="AJ18" i="2"/>
  <c r="AC18" i="2"/>
  <c r="AK18" i="2"/>
  <c r="AD18" i="2"/>
  <c r="AE18" i="2"/>
  <c r="Y18" i="2"/>
  <c r="AG18" i="2"/>
  <c r="Z18" i="2"/>
  <c r="AF18" i="2"/>
  <c r="AH18" i="2"/>
  <c r="X18" i="2"/>
  <c r="AA10" i="2"/>
  <c r="AI10" i="2"/>
  <c r="AB10" i="2"/>
  <c r="AJ10" i="2"/>
  <c r="AC10" i="2"/>
  <c r="AK10" i="2"/>
  <c r="AD10" i="2"/>
  <c r="AE10" i="2"/>
  <c r="Y10" i="2"/>
  <c r="AG10" i="2"/>
  <c r="X10" i="2"/>
  <c r="Z10" i="2"/>
  <c r="AH10" i="2"/>
  <c r="AF10" i="2"/>
  <c r="AS272" i="2"/>
  <c r="AL272" i="2"/>
  <c r="AT272" i="2"/>
  <c r="AM272" i="2"/>
  <c r="AU272" i="2"/>
  <c r="AN272" i="2"/>
  <c r="AV272" i="2"/>
  <c r="AO272" i="2"/>
  <c r="AW272" i="2"/>
  <c r="AQ272" i="2"/>
  <c r="AY272" i="2"/>
  <c r="AP272" i="2"/>
  <c r="AX272" i="2"/>
  <c r="AR272" i="2"/>
  <c r="AO264" i="2"/>
  <c r="AW264" i="2"/>
  <c r="AP264" i="2"/>
  <c r="AX264" i="2"/>
  <c r="AQ264" i="2"/>
  <c r="AY264" i="2"/>
  <c r="AR264" i="2"/>
  <c r="AS264" i="2"/>
  <c r="AM264" i="2"/>
  <c r="AU264" i="2"/>
  <c r="AL264" i="2"/>
  <c r="AT264" i="2"/>
  <c r="AN264" i="2"/>
  <c r="AV264" i="2"/>
  <c r="AO256" i="2"/>
  <c r="AW256" i="2"/>
  <c r="AP256" i="2"/>
  <c r="AX256" i="2"/>
  <c r="AQ256" i="2"/>
  <c r="AY256" i="2"/>
  <c r="AR256" i="2"/>
  <c r="AS256" i="2"/>
  <c r="AM256" i="2"/>
  <c r="AU256" i="2"/>
  <c r="AL256" i="2"/>
  <c r="AN256" i="2"/>
  <c r="AT256" i="2"/>
  <c r="AV256" i="2"/>
  <c r="AO248" i="2"/>
  <c r="AW248" i="2"/>
  <c r="AP248" i="2"/>
  <c r="AX248" i="2"/>
  <c r="AQ248" i="2"/>
  <c r="AY248" i="2"/>
  <c r="AR248" i="2"/>
  <c r="AS248" i="2"/>
  <c r="AM248" i="2"/>
  <c r="AU248" i="2"/>
  <c r="AL248" i="2"/>
  <c r="AT248" i="2"/>
  <c r="AN248" i="2"/>
  <c r="AV248" i="2"/>
  <c r="AO240" i="2"/>
  <c r="AW240" i="2"/>
  <c r="AP240" i="2"/>
  <c r="AX240" i="2"/>
  <c r="AQ240" i="2"/>
  <c r="AY240" i="2"/>
  <c r="AR240" i="2"/>
  <c r="AS240" i="2"/>
  <c r="AM240" i="2"/>
  <c r="AU240" i="2"/>
  <c r="AL240" i="2"/>
  <c r="AN240" i="2"/>
  <c r="AT240" i="2"/>
  <c r="AV240" i="2"/>
  <c r="AO232" i="2"/>
  <c r="AW232" i="2"/>
  <c r="AP232" i="2"/>
  <c r="AX232" i="2"/>
  <c r="AQ232" i="2"/>
  <c r="AY232" i="2"/>
  <c r="AR232" i="2"/>
  <c r="AS232" i="2"/>
  <c r="AM232" i="2"/>
  <c r="AU232" i="2"/>
  <c r="AL232" i="2"/>
  <c r="AT232" i="2"/>
  <c r="AN232" i="2"/>
  <c r="AV232" i="2"/>
  <c r="AO224" i="2"/>
  <c r="AW224" i="2"/>
  <c r="AP224" i="2"/>
  <c r="AX224" i="2"/>
  <c r="AQ224" i="2"/>
  <c r="AY224" i="2"/>
  <c r="AR224" i="2"/>
  <c r="AS224" i="2"/>
  <c r="AM224" i="2"/>
  <c r="AU224" i="2"/>
  <c r="AL224" i="2"/>
  <c r="AN224" i="2"/>
  <c r="AT224" i="2"/>
  <c r="AV224" i="2"/>
  <c r="AO216" i="2"/>
  <c r="AW216" i="2"/>
  <c r="AP216" i="2"/>
  <c r="AX216" i="2"/>
  <c r="AQ216" i="2"/>
  <c r="AY216" i="2"/>
  <c r="AR216" i="2"/>
  <c r="AS216" i="2"/>
  <c r="AM216" i="2"/>
  <c r="AU216" i="2"/>
  <c r="AL216" i="2"/>
  <c r="AT216" i="2"/>
  <c r="AN216" i="2"/>
  <c r="AV216" i="2"/>
  <c r="AO208" i="2"/>
  <c r="AW208" i="2"/>
  <c r="AP208" i="2"/>
  <c r="AX208" i="2"/>
  <c r="AQ208" i="2"/>
  <c r="AY208" i="2"/>
  <c r="AR208" i="2"/>
  <c r="AS208" i="2"/>
  <c r="AM208" i="2"/>
  <c r="AU208" i="2"/>
  <c r="AL208" i="2"/>
  <c r="AN208" i="2"/>
  <c r="AT208" i="2"/>
  <c r="AV208" i="2"/>
  <c r="AO200" i="2"/>
  <c r="AW200" i="2"/>
  <c r="AP200" i="2"/>
  <c r="AX200" i="2"/>
  <c r="AQ200" i="2"/>
  <c r="AY200" i="2"/>
  <c r="AR200" i="2"/>
  <c r="AS200" i="2"/>
  <c r="AM200" i="2"/>
  <c r="AU200" i="2"/>
  <c r="AL200" i="2"/>
  <c r="AT200" i="2"/>
  <c r="AN200" i="2"/>
  <c r="AV200" i="2"/>
  <c r="AO192" i="2"/>
  <c r="AW192" i="2"/>
  <c r="AP192" i="2"/>
  <c r="AX192" i="2"/>
  <c r="AQ192" i="2"/>
  <c r="AY192" i="2"/>
  <c r="AR192" i="2"/>
  <c r="AS192" i="2"/>
  <c r="AM192" i="2"/>
  <c r="AU192" i="2"/>
  <c r="AL192" i="2"/>
  <c r="AN192" i="2"/>
  <c r="AT192" i="2"/>
  <c r="AV192" i="2"/>
  <c r="AO184" i="2"/>
  <c r="AW184" i="2"/>
  <c r="AP184" i="2"/>
  <c r="AX184" i="2"/>
  <c r="AQ184" i="2"/>
  <c r="AY184" i="2"/>
  <c r="AR184" i="2"/>
  <c r="AS184" i="2"/>
  <c r="AM184" i="2"/>
  <c r="AU184" i="2"/>
  <c r="AL184" i="2"/>
  <c r="AT184" i="2"/>
  <c r="AN184" i="2"/>
  <c r="AV184" i="2"/>
  <c r="AO176" i="2"/>
  <c r="AW176" i="2"/>
  <c r="AP176" i="2"/>
  <c r="AX176" i="2"/>
  <c r="AQ176" i="2"/>
  <c r="AY176" i="2"/>
  <c r="AR176" i="2"/>
  <c r="AS176" i="2"/>
  <c r="AM176" i="2"/>
  <c r="AU176" i="2"/>
  <c r="AL176" i="2"/>
  <c r="AN176" i="2"/>
  <c r="AT176" i="2"/>
  <c r="AV176" i="2"/>
  <c r="AO168" i="2"/>
  <c r="AW168" i="2"/>
  <c r="AP168" i="2"/>
  <c r="AX168" i="2"/>
  <c r="AQ168" i="2"/>
  <c r="AY168" i="2"/>
  <c r="AR168" i="2"/>
  <c r="AS168" i="2"/>
  <c r="AM168" i="2"/>
  <c r="AU168" i="2"/>
  <c r="AL168" i="2"/>
  <c r="AT168" i="2"/>
  <c r="AN168" i="2"/>
  <c r="AV168" i="2"/>
  <c r="AO160" i="2"/>
  <c r="AW160" i="2"/>
  <c r="AP160" i="2"/>
  <c r="AX160" i="2"/>
  <c r="AQ160" i="2"/>
  <c r="AY160" i="2"/>
  <c r="AR160" i="2"/>
  <c r="AS160" i="2"/>
  <c r="AM160" i="2"/>
  <c r="AU160" i="2"/>
  <c r="AL160" i="2"/>
  <c r="AN160" i="2"/>
  <c r="AT160" i="2"/>
  <c r="AV160" i="2"/>
  <c r="AO152" i="2"/>
  <c r="AW152" i="2"/>
  <c r="AP152" i="2"/>
  <c r="AX152" i="2"/>
  <c r="AQ152" i="2"/>
  <c r="AY152" i="2"/>
  <c r="AR152" i="2"/>
  <c r="AS152" i="2"/>
  <c r="AM152" i="2"/>
  <c r="AU152" i="2"/>
  <c r="AL152" i="2"/>
  <c r="AT152" i="2"/>
  <c r="AN152" i="2"/>
  <c r="AV152" i="2"/>
  <c r="AP144" i="2"/>
  <c r="AX144" i="2"/>
  <c r="AQ144" i="2"/>
  <c r="AY144" i="2"/>
  <c r="AR144" i="2"/>
  <c r="AS144" i="2"/>
  <c r="AL144" i="2"/>
  <c r="AT144" i="2"/>
  <c r="AM144" i="2"/>
  <c r="AU144" i="2"/>
  <c r="AN144" i="2"/>
  <c r="AO144" i="2"/>
  <c r="AV144" i="2"/>
  <c r="AW144" i="2"/>
  <c r="AP136" i="2"/>
  <c r="AX136" i="2"/>
  <c r="AQ136" i="2"/>
  <c r="AY136" i="2"/>
  <c r="AR136" i="2"/>
  <c r="AS136" i="2"/>
  <c r="AL136" i="2"/>
  <c r="AT136" i="2"/>
  <c r="AM136" i="2"/>
  <c r="AU136" i="2"/>
  <c r="AN136" i="2"/>
  <c r="AV136" i="2"/>
  <c r="AO136" i="2"/>
  <c r="AW136" i="2"/>
  <c r="AP128" i="2"/>
  <c r="AX128" i="2"/>
  <c r="AQ128" i="2"/>
  <c r="AY128" i="2"/>
  <c r="AR128" i="2"/>
  <c r="AS128" i="2"/>
  <c r="AL128" i="2"/>
  <c r="AT128" i="2"/>
  <c r="AM128" i="2"/>
  <c r="AU128" i="2"/>
  <c r="AN128" i="2"/>
  <c r="AO128" i="2"/>
  <c r="AV128" i="2"/>
  <c r="AW128" i="2"/>
  <c r="AQ120" i="2"/>
  <c r="AY120" i="2"/>
  <c r="AL120" i="2"/>
  <c r="AT120" i="2"/>
  <c r="AM120" i="2"/>
  <c r="AU120" i="2"/>
  <c r="AO120" i="2"/>
  <c r="AW120" i="2"/>
  <c r="AV120" i="2"/>
  <c r="AX120" i="2"/>
  <c r="AN120" i="2"/>
  <c r="AP120" i="2"/>
  <c r="AR120" i="2"/>
  <c r="AS120" i="2"/>
  <c r="AQ112" i="2"/>
  <c r="AY112" i="2"/>
  <c r="AL112" i="2"/>
  <c r="AT112" i="2"/>
  <c r="AM112" i="2"/>
  <c r="AU112" i="2"/>
  <c r="AO112" i="2"/>
  <c r="AW112" i="2"/>
  <c r="AV112" i="2"/>
  <c r="AX112" i="2"/>
  <c r="AN112" i="2"/>
  <c r="AP112" i="2"/>
  <c r="AR112" i="2"/>
  <c r="AS112" i="2"/>
  <c r="AQ104" i="2"/>
  <c r="AY104" i="2"/>
  <c r="AL104" i="2"/>
  <c r="AT104" i="2"/>
  <c r="AM104" i="2"/>
  <c r="AU104" i="2"/>
  <c r="AO104" i="2"/>
  <c r="AW104" i="2"/>
  <c r="AV104" i="2"/>
  <c r="AX104" i="2"/>
  <c r="AN104" i="2"/>
  <c r="AP104" i="2"/>
  <c r="AR104" i="2"/>
  <c r="AS104" i="2"/>
  <c r="AQ96" i="2"/>
  <c r="AY96" i="2"/>
  <c r="AL96" i="2"/>
  <c r="AT96" i="2"/>
  <c r="AM96" i="2"/>
  <c r="AU96" i="2"/>
  <c r="AO96" i="2"/>
  <c r="AW96" i="2"/>
  <c r="AV96" i="2"/>
  <c r="AX96" i="2"/>
  <c r="AN96" i="2"/>
  <c r="AP96" i="2"/>
  <c r="AR96" i="2"/>
  <c r="AS96" i="2"/>
  <c r="AQ88" i="2"/>
  <c r="AY88" i="2"/>
  <c r="AL88" i="2"/>
  <c r="AT88" i="2"/>
  <c r="AM88" i="2"/>
  <c r="AU88" i="2"/>
  <c r="AO88" i="2"/>
  <c r="AW88" i="2"/>
  <c r="AV88" i="2"/>
  <c r="AX88" i="2"/>
  <c r="AN88" i="2"/>
  <c r="AP88" i="2"/>
  <c r="AR88" i="2"/>
  <c r="AS88" i="2"/>
  <c r="AO80" i="2"/>
  <c r="AW80" i="2"/>
  <c r="AP80" i="2"/>
  <c r="AX80" i="2"/>
  <c r="AQ80" i="2"/>
  <c r="AY80" i="2"/>
  <c r="AR80" i="2"/>
  <c r="AS80" i="2"/>
  <c r="AM80" i="2"/>
  <c r="AU80" i="2"/>
  <c r="AL80" i="2"/>
  <c r="AT80" i="2"/>
  <c r="AN80" i="2"/>
  <c r="AV80" i="2"/>
  <c r="AO72" i="2"/>
  <c r="AW72" i="2"/>
  <c r="AP72" i="2"/>
  <c r="AX72" i="2"/>
  <c r="AQ72" i="2"/>
  <c r="AY72" i="2"/>
  <c r="AR72" i="2"/>
  <c r="AS72" i="2"/>
  <c r="AM72" i="2"/>
  <c r="AU72" i="2"/>
  <c r="AL72" i="2"/>
  <c r="AN72" i="2"/>
  <c r="AT72" i="2"/>
  <c r="AV72" i="2"/>
  <c r="AO64" i="2"/>
  <c r="AW64" i="2"/>
  <c r="AP64" i="2"/>
  <c r="AX64" i="2"/>
  <c r="AQ64" i="2"/>
  <c r="AY64" i="2"/>
  <c r="AR64" i="2"/>
  <c r="AS64" i="2"/>
  <c r="AM64" i="2"/>
  <c r="AU64" i="2"/>
  <c r="AL64" i="2"/>
  <c r="AT64" i="2"/>
  <c r="AN64" i="2"/>
  <c r="AV64" i="2"/>
  <c r="AO56" i="2"/>
  <c r="AW56" i="2"/>
  <c r="AP56" i="2"/>
  <c r="AX56" i="2"/>
  <c r="AQ56" i="2"/>
  <c r="AY56" i="2"/>
  <c r="AR56" i="2"/>
  <c r="AS56" i="2"/>
  <c r="AM56" i="2"/>
  <c r="AU56" i="2"/>
  <c r="AL56" i="2"/>
  <c r="AN56" i="2"/>
  <c r="AT56" i="2"/>
  <c r="AV56" i="2"/>
  <c r="AM48" i="2"/>
  <c r="AU48" i="2"/>
  <c r="AO48" i="2"/>
  <c r="AW48" i="2"/>
  <c r="AP48" i="2"/>
  <c r="AX48" i="2"/>
  <c r="AQ48" i="2"/>
  <c r="AY48" i="2"/>
  <c r="AR48" i="2"/>
  <c r="AT48" i="2"/>
  <c r="AV48" i="2"/>
  <c r="AN48" i="2"/>
  <c r="AL48" i="2"/>
  <c r="AS48" i="2"/>
  <c r="AM40" i="2"/>
  <c r="AU40" i="2"/>
  <c r="AO40" i="2"/>
  <c r="AW40" i="2"/>
  <c r="AP40" i="2"/>
  <c r="AX40" i="2"/>
  <c r="AQ40" i="2"/>
  <c r="AY40" i="2"/>
  <c r="AR40" i="2"/>
  <c r="AL40" i="2"/>
  <c r="AN40" i="2"/>
  <c r="AT40" i="2"/>
  <c r="AS40" i="2"/>
  <c r="AV40" i="2"/>
  <c r="AM32" i="2"/>
  <c r="AU32" i="2"/>
  <c r="AO32" i="2"/>
  <c r="AW32" i="2"/>
  <c r="AP32" i="2"/>
  <c r="AX32" i="2"/>
  <c r="AQ32" i="2"/>
  <c r="AY32" i="2"/>
  <c r="AR32" i="2"/>
  <c r="AL32" i="2"/>
  <c r="AN32" i="2"/>
  <c r="AS32" i="2"/>
  <c r="AT32" i="2"/>
  <c r="AV32" i="2"/>
  <c r="AM24" i="2"/>
  <c r="AU24" i="2"/>
  <c r="AO24" i="2"/>
  <c r="AW24" i="2"/>
  <c r="AP24" i="2"/>
  <c r="AX24" i="2"/>
  <c r="AQ24" i="2"/>
  <c r="AY24" i="2"/>
  <c r="AR24" i="2"/>
  <c r="AN24" i="2"/>
  <c r="AS24" i="2"/>
  <c r="AT24" i="2"/>
  <c r="AV24" i="2"/>
  <c r="AL24" i="2"/>
  <c r="AM16" i="2"/>
  <c r="AU16" i="2"/>
  <c r="AO16" i="2"/>
  <c r="AW16" i="2"/>
  <c r="AP16" i="2"/>
  <c r="AX16" i="2"/>
  <c r="AQ16" i="2"/>
  <c r="AY16" i="2"/>
  <c r="AR16" i="2"/>
  <c r="AT16" i="2"/>
  <c r="AV16" i="2"/>
  <c r="AN16" i="2"/>
  <c r="AL16" i="2"/>
  <c r="AS16" i="2"/>
  <c r="AL8" i="2"/>
  <c r="AT8" i="2"/>
  <c r="AM8" i="2"/>
  <c r="AU8" i="2"/>
  <c r="AN8" i="2"/>
  <c r="AV8" i="2"/>
  <c r="AO8" i="2"/>
  <c r="AW8" i="2"/>
  <c r="AP8" i="2"/>
  <c r="AX8" i="2"/>
  <c r="AQ8" i="2"/>
  <c r="AY8" i="2"/>
  <c r="AR8" i="2"/>
  <c r="AS8" i="2"/>
  <c r="AJ3" i="2"/>
  <c r="AB3" i="2"/>
  <c r="AK272" i="2"/>
  <c r="AA272" i="2"/>
  <c r="AD271" i="2"/>
  <c r="AG270" i="2"/>
  <c r="AK269" i="2"/>
  <c r="AI268" i="2"/>
  <c r="AA267" i="2"/>
  <c r="AA264" i="2"/>
  <c r="AG262" i="2"/>
  <c r="AI260" i="2"/>
  <c r="AE258" i="2"/>
  <c r="AA256" i="2"/>
  <c r="AK253" i="2"/>
  <c r="AG251" i="2"/>
  <c r="Y247" i="2"/>
  <c r="AI244" i="2"/>
  <c r="AE242" i="2"/>
  <c r="AA240" i="2"/>
  <c r="AK237" i="2"/>
  <c r="AG235" i="2"/>
  <c r="Y231" i="2"/>
  <c r="AI228" i="2"/>
  <c r="AE226" i="2"/>
  <c r="AA224" i="2"/>
  <c r="AK221" i="2"/>
  <c r="AG219" i="2"/>
  <c r="Y213" i="2"/>
  <c r="AE208" i="2"/>
  <c r="AK203" i="2"/>
  <c r="AC199" i="2"/>
  <c r="AI194" i="2"/>
  <c r="AA190" i="2"/>
  <c r="Y181" i="2"/>
  <c r="AE176" i="2"/>
  <c r="AK171" i="2"/>
  <c r="AC167" i="2"/>
  <c r="AI162" i="2"/>
  <c r="Y149" i="2"/>
  <c r="AE144" i="2"/>
  <c r="AI126" i="2"/>
  <c r="AG102" i="2"/>
  <c r="Y78" i="2"/>
  <c r="AD232" i="2"/>
  <c r="AE232" i="2"/>
  <c r="X232" i="2"/>
  <c r="AF232" i="2"/>
  <c r="Y232" i="2"/>
  <c r="AG232" i="2"/>
  <c r="Z232" i="2"/>
  <c r="AH232" i="2"/>
  <c r="AB232" i="2"/>
  <c r="AJ232" i="2"/>
  <c r="AA184" i="2"/>
  <c r="AI184" i="2"/>
  <c r="AB184" i="2"/>
  <c r="AJ184" i="2"/>
  <c r="AD184" i="2"/>
  <c r="Y184" i="2"/>
  <c r="AG184" i="2"/>
  <c r="AK184" i="2"/>
  <c r="X184" i="2"/>
  <c r="Z184" i="2"/>
  <c r="AC184" i="2"/>
  <c r="AF184" i="2"/>
  <c r="X112" i="2"/>
  <c r="AF112" i="2"/>
  <c r="Y112" i="2"/>
  <c r="AG112" i="2"/>
  <c r="Z112" i="2"/>
  <c r="AH112" i="2"/>
  <c r="AA112" i="2"/>
  <c r="AI112" i="2"/>
  <c r="AB112" i="2"/>
  <c r="AJ112" i="2"/>
  <c r="AD112" i="2"/>
  <c r="AE112" i="2"/>
  <c r="AK112" i="2"/>
  <c r="AC112" i="2"/>
  <c r="AE56" i="2"/>
  <c r="X56" i="2"/>
  <c r="AF56" i="2"/>
  <c r="Y56" i="2"/>
  <c r="AG56" i="2"/>
  <c r="Z56" i="2"/>
  <c r="AH56" i="2"/>
  <c r="AA56" i="2"/>
  <c r="AI56" i="2"/>
  <c r="AC56" i="2"/>
  <c r="AK56" i="2"/>
  <c r="AD56" i="2"/>
  <c r="AB56" i="2"/>
  <c r="AJ56" i="2"/>
  <c r="AS262" i="2"/>
  <c r="AL262" i="2"/>
  <c r="AT262" i="2"/>
  <c r="AM262" i="2"/>
  <c r="AU262" i="2"/>
  <c r="AN262" i="2"/>
  <c r="AV262" i="2"/>
  <c r="AO262" i="2"/>
  <c r="AW262" i="2"/>
  <c r="AQ262" i="2"/>
  <c r="AY262" i="2"/>
  <c r="AX262" i="2"/>
  <c r="AP262" i="2"/>
  <c r="AR262" i="2"/>
  <c r="AS198" i="2"/>
  <c r="AL198" i="2"/>
  <c r="AT198" i="2"/>
  <c r="AM198" i="2"/>
  <c r="AU198" i="2"/>
  <c r="AN198" i="2"/>
  <c r="AV198" i="2"/>
  <c r="AO198" i="2"/>
  <c r="AW198" i="2"/>
  <c r="AQ198" i="2"/>
  <c r="AY198" i="2"/>
  <c r="AX198" i="2"/>
  <c r="AP198" i="2"/>
  <c r="AR198" i="2"/>
  <c r="AS150" i="2"/>
  <c r="AL150" i="2"/>
  <c r="AT150" i="2"/>
  <c r="AM150" i="2"/>
  <c r="AU150" i="2"/>
  <c r="AN150" i="2"/>
  <c r="AV150" i="2"/>
  <c r="AO150" i="2"/>
  <c r="AW150" i="2"/>
  <c r="AQ150" i="2"/>
  <c r="AY150" i="2"/>
  <c r="AX150" i="2"/>
  <c r="AP150" i="2"/>
  <c r="AR150" i="2"/>
  <c r="Z246" i="2"/>
  <c r="AH246" i="2"/>
  <c r="AA246" i="2"/>
  <c r="AI246" i="2"/>
  <c r="AB246" i="2"/>
  <c r="AJ246" i="2"/>
  <c r="AC246" i="2"/>
  <c r="AK246" i="2"/>
  <c r="AD246" i="2"/>
  <c r="X246" i="2"/>
  <c r="AF246" i="2"/>
  <c r="Z230" i="2"/>
  <c r="AH230" i="2"/>
  <c r="AA230" i="2"/>
  <c r="AI230" i="2"/>
  <c r="AB230" i="2"/>
  <c r="AJ230" i="2"/>
  <c r="AC230" i="2"/>
  <c r="AK230" i="2"/>
  <c r="AD230" i="2"/>
  <c r="X230" i="2"/>
  <c r="AF230" i="2"/>
  <c r="AE158" i="2"/>
  <c r="X158" i="2"/>
  <c r="AF158" i="2"/>
  <c r="Z158" i="2"/>
  <c r="AH158" i="2"/>
  <c r="AC158" i="2"/>
  <c r="AK158" i="2"/>
  <c r="AG158" i="2"/>
  <c r="AI158" i="2"/>
  <c r="AJ158" i="2"/>
  <c r="Y158" i="2"/>
  <c r="AB158" i="2"/>
  <c r="AB110" i="2"/>
  <c r="AJ110" i="2"/>
  <c r="AC110" i="2"/>
  <c r="AK110" i="2"/>
  <c r="AD110" i="2"/>
  <c r="AE110" i="2"/>
  <c r="X110" i="2"/>
  <c r="AF110" i="2"/>
  <c r="Z110" i="2"/>
  <c r="AH110" i="2"/>
  <c r="AA110" i="2"/>
  <c r="AG110" i="2"/>
  <c r="AI110" i="2"/>
  <c r="AA62" i="2"/>
  <c r="AI62" i="2"/>
  <c r="AB62" i="2"/>
  <c r="AC62" i="2"/>
  <c r="AK62" i="2"/>
  <c r="AD62" i="2"/>
  <c r="AE62" i="2"/>
  <c r="Y62" i="2"/>
  <c r="AG62" i="2"/>
  <c r="X62" i="2"/>
  <c r="Z62" i="2"/>
  <c r="AF62" i="2"/>
  <c r="AH62" i="2"/>
  <c r="AJ62" i="2"/>
  <c r="AO268" i="2"/>
  <c r="AW268" i="2"/>
  <c r="AP268" i="2"/>
  <c r="AX268" i="2"/>
  <c r="AQ268" i="2"/>
  <c r="AY268" i="2"/>
  <c r="AS268" i="2"/>
  <c r="AM268" i="2"/>
  <c r="AU268" i="2"/>
  <c r="AR268" i="2"/>
  <c r="AT268" i="2"/>
  <c r="AV268" i="2"/>
  <c r="AL268" i="2"/>
  <c r="AN268" i="2"/>
  <c r="AO188" i="2"/>
  <c r="AW188" i="2"/>
  <c r="AP188" i="2"/>
  <c r="AX188" i="2"/>
  <c r="AQ188" i="2"/>
  <c r="AY188" i="2"/>
  <c r="AR188" i="2"/>
  <c r="AS188" i="2"/>
  <c r="AM188" i="2"/>
  <c r="AU188" i="2"/>
  <c r="AL188" i="2"/>
  <c r="AN188" i="2"/>
  <c r="AT188" i="2"/>
  <c r="AV188" i="2"/>
  <c r="AO156" i="2"/>
  <c r="AW156" i="2"/>
  <c r="AP156" i="2"/>
  <c r="AX156" i="2"/>
  <c r="AQ156" i="2"/>
  <c r="AY156" i="2"/>
  <c r="AR156" i="2"/>
  <c r="AS156" i="2"/>
  <c r="AM156" i="2"/>
  <c r="AU156" i="2"/>
  <c r="AL156" i="2"/>
  <c r="AN156" i="2"/>
  <c r="AT156" i="2"/>
  <c r="AV156" i="2"/>
  <c r="AP148" i="2"/>
  <c r="AX148" i="2"/>
  <c r="AQ148" i="2"/>
  <c r="AR148" i="2"/>
  <c r="AS148" i="2"/>
  <c r="AL148" i="2"/>
  <c r="AT148" i="2"/>
  <c r="AM148" i="2"/>
  <c r="AU148" i="2"/>
  <c r="AV148" i="2"/>
  <c r="AW148" i="2"/>
  <c r="AY148" i="2"/>
  <c r="AN148" i="2"/>
  <c r="AO148" i="2"/>
  <c r="AP132" i="2"/>
  <c r="AX132" i="2"/>
  <c r="AQ132" i="2"/>
  <c r="AY132" i="2"/>
  <c r="AR132" i="2"/>
  <c r="AS132" i="2"/>
  <c r="AL132" i="2"/>
  <c r="AT132" i="2"/>
  <c r="AM132" i="2"/>
  <c r="AU132" i="2"/>
  <c r="AV132" i="2"/>
  <c r="AW132" i="2"/>
  <c r="AN132" i="2"/>
  <c r="AO132" i="2"/>
  <c r="AQ100" i="2"/>
  <c r="AY100" i="2"/>
  <c r="AL100" i="2"/>
  <c r="AT100" i="2"/>
  <c r="AM100" i="2"/>
  <c r="AU100" i="2"/>
  <c r="AO100" i="2"/>
  <c r="AW100" i="2"/>
  <c r="AN100" i="2"/>
  <c r="AP100" i="2"/>
  <c r="AR100" i="2"/>
  <c r="AS100" i="2"/>
  <c r="AV100" i="2"/>
  <c r="AX100" i="2"/>
  <c r="AM28" i="2"/>
  <c r="AU28" i="2"/>
  <c r="AO28" i="2"/>
  <c r="AW28" i="2"/>
  <c r="AP28" i="2"/>
  <c r="AX28" i="2"/>
  <c r="AQ28" i="2"/>
  <c r="AY28" i="2"/>
  <c r="AR28" i="2"/>
  <c r="AV28" i="2"/>
  <c r="AL28" i="2"/>
  <c r="AS28" i="2"/>
  <c r="AN28" i="2"/>
  <c r="AT28" i="2"/>
  <c r="Z234" i="2"/>
  <c r="AH234" i="2"/>
  <c r="AA234" i="2"/>
  <c r="AI234" i="2"/>
  <c r="AB234" i="2"/>
  <c r="AJ234" i="2"/>
  <c r="AC234" i="2"/>
  <c r="AK234" i="2"/>
  <c r="AD234" i="2"/>
  <c r="X234" i="2"/>
  <c r="AF234" i="2"/>
  <c r="X265" i="2"/>
  <c r="AF265" i="2"/>
  <c r="Z265" i="2"/>
  <c r="AH265" i="2"/>
  <c r="AA265" i="2"/>
  <c r="AI265" i="2"/>
  <c r="AB265" i="2"/>
  <c r="AJ265" i="2"/>
  <c r="AD265" i="2"/>
  <c r="X257" i="2"/>
  <c r="AF257" i="2"/>
  <c r="Y257" i="2"/>
  <c r="AG257" i="2"/>
  <c r="Z257" i="2"/>
  <c r="AH257" i="2"/>
  <c r="AA257" i="2"/>
  <c r="AI257" i="2"/>
  <c r="AB257" i="2"/>
  <c r="AJ257" i="2"/>
  <c r="AD257" i="2"/>
  <c r="X249" i="2"/>
  <c r="AF249" i="2"/>
  <c r="Y249" i="2"/>
  <c r="AG249" i="2"/>
  <c r="Z249" i="2"/>
  <c r="AH249" i="2"/>
  <c r="AA249" i="2"/>
  <c r="AI249" i="2"/>
  <c r="AB249" i="2"/>
  <c r="AJ249" i="2"/>
  <c r="AD249" i="2"/>
  <c r="X241" i="2"/>
  <c r="AF241" i="2"/>
  <c r="Y241" i="2"/>
  <c r="AG241" i="2"/>
  <c r="Z241" i="2"/>
  <c r="AH241" i="2"/>
  <c r="AA241" i="2"/>
  <c r="AI241" i="2"/>
  <c r="AB241" i="2"/>
  <c r="AJ241" i="2"/>
  <c r="AD241" i="2"/>
  <c r="X233" i="2"/>
  <c r="AF233" i="2"/>
  <c r="Y233" i="2"/>
  <c r="AG233" i="2"/>
  <c r="Z233" i="2"/>
  <c r="AH233" i="2"/>
  <c r="AA233" i="2"/>
  <c r="AI233" i="2"/>
  <c r="AB233" i="2"/>
  <c r="AJ233" i="2"/>
  <c r="AD233" i="2"/>
  <c r="X225" i="2"/>
  <c r="AF225" i="2"/>
  <c r="Y225" i="2"/>
  <c r="AG225" i="2"/>
  <c r="Z225" i="2"/>
  <c r="AH225" i="2"/>
  <c r="AA225" i="2"/>
  <c r="AI225" i="2"/>
  <c r="AB225" i="2"/>
  <c r="AJ225" i="2"/>
  <c r="AD225" i="2"/>
  <c r="X217" i="2"/>
  <c r="AF217" i="2"/>
  <c r="Y217" i="2"/>
  <c r="AG217" i="2"/>
  <c r="Z217" i="2"/>
  <c r="AH217" i="2"/>
  <c r="AA217" i="2"/>
  <c r="AI217" i="2"/>
  <c r="AB217" i="2"/>
  <c r="AJ217" i="2"/>
  <c r="AD217" i="2"/>
  <c r="AC209" i="2"/>
  <c r="AK209" i="2"/>
  <c r="AD209" i="2"/>
  <c r="X209" i="2"/>
  <c r="AF209" i="2"/>
  <c r="AA209" i="2"/>
  <c r="AI209" i="2"/>
  <c r="Y209" i="2"/>
  <c r="Z209" i="2"/>
  <c r="AB209" i="2"/>
  <c r="AE209" i="2"/>
  <c r="AH209" i="2"/>
  <c r="AC201" i="2"/>
  <c r="AK201" i="2"/>
  <c r="AD201" i="2"/>
  <c r="X201" i="2"/>
  <c r="AF201" i="2"/>
  <c r="AA201" i="2"/>
  <c r="AI201" i="2"/>
  <c r="Y201" i="2"/>
  <c r="Z201" i="2"/>
  <c r="AB201" i="2"/>
  <c r="AE201" i="2"/>
  <c r="AH201" i="2"/>
  <c r="AC193" i="2"/>
  <c r="AK193" i="2"/>
  <c r="AD193" i="2"/>
  <c r="X193" i="2"/>
  <c r="AF193" i="2"/>
  <c r="AA193" i="2"/>
  <c r="AI193" i="2"/>
  <c r="Y193" i="2"/>
  <c r="Z193" i="2"/>
  <c r="AB193" i="2"/>
  <c r="AE193" i="2"/>
  <c r="AH193" i="2"/>
  <c r="AC185" i="2"/>
  <c r="AK185" i="2"/>
  <c r="AD185" i="2"/>
  <c r="X185" i="2"/>
  <c r="AF185" i="2"/>
  <c r="AA185" i="2"/>
  <c r="AI185" i="2"/>
  <c r="Y185" i="2"/>
  <c r="Z185" i="2"/>
  <c r="AB185" i="2"/>
  <c r="AE185" i="2"/>
  <c r="AH185" i="2"/>
  <c r="AC177" i="2"/>
  <c r="AK177" i="2"/>
  <c r="AD177" i="2"/>
  <c r="X177" i="2"/>
  <c r="AF177" i="2"/>
  <c r="AA177" i="2"/>
  <c r="AI177" i="2"/>
  <c r="Y177" i="2"/>
  <c r="Z177" i="2"/>
  <c r="AB177" i="2"/>
  <c r="AE177" i="2"/>
  <c r="AH177" i="2"/>
  <c r="AC169" i="2"/>
  <c r="AK169" i="2"/>
  <c r="AD169" i="2"/>
  <c r="X169" i="2"/>
  <c r="AF169" i="2"/>
  <c r="AA169" i="2"/>
  <c r="AI169" i="2"/>
  <c r="Y169" i="2"/>
  <c r="Z169" i="2"/>
  <c r="AB169" i="2"/>
  <c r="AE169" i="2"/>
  <c r="AH169" i="2"/>
  <c r="AC161" i="2"/>
  <c r="AK161" i="2"/>
  <c r="AD161" i="2"/>
  <c r="X161" i="2"/>
  <c r="AF161" i="2"/>
  <c r="AA161" i="2"/>
  <c r="AI161" i="2"/>
  <c r="Y161" i="2"/>
  <c r="Z161" i="2"/>
  <c r="AB161" i="2"/>
  <c r="AE161" i="2"/>
  <c r="AH161" i="2"/>
  <c r="AC153" i="2"/>
  <c r="AK153" i="2"/>
  <c r="AD153" i="2"/>
  <c r="X153" i="2"/>
  <c r="AF153" i="2"/>
  <c r="AA153" i="2"/>
  <c r="AI153" i="2"/>
  <c r="Y153" i="2"/>
  <c r="Z153" i="2"/>
  <c r="AB153" i="2"/>
  <c r="AE153" i="2"/>
  <c r="AH153" i="2"/>
  <c r="AC145" i="2"/>
  <c r="AK145" i="2"/>
  <c r="AD145" i="2"/>
  <c r="X145" i="2"/>
  <c r="AF145" i="2"/>
  <c r="AA145" i="2"/>
  <c r="AI145" i="2"/>
  <c r="Y145" i="2"/>
  <c r="Z145" i="2"/>
  <c r="AB145" i="2"/>
  <c r="AE145" i="2"/>
  <c r="AH145" i="2"/>
  <c r="Z137" i="2"/>
  <c r="AH137" i="2"/>
  <c r="AA137" i="2"/>
  <c r="AI137" i="2"/>
  <c r="AB137" i="2"/>
  <c r="AJ137" i="2"/>
  <c r="AC137" i="2"/>
  <c r="AK137" i="2"/>
  <c r="AD137" i="2"/>
  <c r="X137" i="2"/>
  <c r="AF137" i="2"/>
  <c r="AG137" i="2"/>
  <c r="Y137" i="2"/>
  <c r="Z129" i="2"/>
  <c r="AH129" i="2"/>
  <c r="AA129" i="2"/>
  <c r="AI129" i="2"/>
  <c r="AB129" i="2"/>
  <c r="AJ129" i="2"/>
  <c r="AC129" i="2"/>
  <c r="AK129" i="2"/>
  <c r="AD129" i="2"/>
  <c r="X129" i="2"/>
  <c r="AF129" i="2"/>
  <c r="AE129" i="2"/>
  <c r="Y129" i="2"/>
  <c r="AG129" i="2"/>
  <c r="Z121" i="2"/>
  <c r="AH121" i="2"/>
  <c r="AA121" i="2"/>
  <c r="AI121" i="2"/>
  <c r="AB121" i="2"/>
  <c r="AJ121" i="2"/>
  <c r="AC121" i="2"/>
  <c r="AK121" i="2"/>
  <c r="AD121" i="2"/>
  <c r="X121" i="2"/>
  <c r="AF121" i="2"/>
  <c r="AG121" i="2"/>
  <c r="Y121" i="2"/>
  <c r="AE121" i="2"/>
  <c r="Z113" i="2"/>
  <c r="AH113" i="2"/>
  <c r="AA113" i="2"/>
  <c r="AI113" i="2"/>
  <c r="AB113" i="2"/>
  <c r="AJ113" i="2"/>
  <c r="AC113" i="2"/>
  <c r="AK113" i="2"/>
  <c r="AD113" i="2"/>
  <c r="X113" i="2"/>
  <c r="AF113" i="2"/>
  <c r="AE113" i="2"/>
  <c r="AG113" i="2"/>
  <c r="Y113" i="2"/>
  <c r="Z105" i="2"/>
  <c r="AH105" i="2"/>
  <c r="AA105" i="2"/>
  <c r="AI105" i="2"/>
  <c r="AB105" i="2"/>
  <c r="AJ105" i="2"/>
  <c r="AC105" i="2"/>
  <c r="AK105" i="2"/>
  <c r="AD105" i="2"/>
  <c r="X105" i="2"/>
  <c r="AF105" i="2"/>
  <c r="AG105" i="2"/>
  <c r="Y105" i="2"/>
  <c r="AE105" i="2"/>
  <c r="Z97" i="2"/>
  <c r="AH97" i="2"/>
  <c r="AA97" i="2"/>
  <c r="AI97" i="2"/>
  <c r="AB97" i="2"/>
  <c r="AJ97" i="2"/>
  <c r="AC97" i="2"/>
  <c r="AK97" i="2"/>
  <c r="AD97" i="2"/>
  <c r="X97" i="2"/>
  <c r="AF97" i="2"/>
  <c r="AE97" i="2"/>
  <c r="AG97" i="2"/>
  <c r="Y97" i="2"/>
  <c r="Z89" i="2"/>
  <c r="AH89" i="2"/>
  <c r="AA89" i="2"/>
  <c r="AI89" i="2"/>
  <c r="AB89" i="2"/>
  <c r="AJ89" i="2"/>
  <c r="AC89" i="2"/>
  <c r="AK89" i="2"/>
  <c r="AD89" i="2"/>
  <c r="X89" i="2"/>
  <c r="AF89" i="2"/>
  <c r="AG89" i="2"/>
  <c r="Y89" i="2"/>
  <c r="AE89" i="2"/>
  <c r="Z81" i="2"/>
  <c r="AH81" i="2"/>
  <c r="AA81" i="2"/>
  <c r="AI81" i="2"/>
  <c r="AB81" i="2"/>
  <c r="AJ81" i="2"/>
  <c r="AC81" i="2"/>
  <c r="AK81" i="2"/>
  <c r="AD81" i="2"/>
  <c r="X81" i="2"/>
  <c r="AF81" i="2"/>
  <c r="AE81" i="2"/>
  <c r="AG81" i="2"/>
  <c r="Y81" i="2"/>
  <c r="Z73" i="2"/>
  <c r="AH73" i="2"/>
  <c r="AA73" i="2"/>
  <c r="AI73" i="2"/>
  <c r="AB73" i="2"/>
  <c r="AJ73" i="2"/>
  <c r="AC73" i="2"/>
  <c r="AK73" i="2"/>
  <c r="AD73" i="2"/>
  <c r="X73" i="2"/>
  <c r="AF73" i="2"/>
  <c r="AG73" i="2"/>
  <c r="Y73" i="2"/>
  <c r="Y65" i="2"/>
  <c r="AG65" i="2"/>
  <c r="AA65" i="2"/>
  <c r="AI65" i="2"/>
  <c r="AB65" i="2"/>
  <c r="AJ65" i="2"/>
  <c r="AC65" i="2"/>
  <c r="AK65" i="2"/>
  <c r="AE65" i="2"/>
  <c r="X65" i="2"/>
  <c r="Z65" i="2"/>
  <c r="AD65" i="2"/>
  <c r="AF65" i="2"/>
  <c r="AH65" i="2"/>
  <c r="Y57" i="2"/>
  <c r="AG57" i="2"/>
  <c r="Z57" i="2"/>
  <c r="AH57" i="2"/>
  <c r="AA57" i="2"/>
  <c r="AI57" i="2"/>
  <c r="AB57" i="2"/>
  <c r="AJ57" i="2"/>
  <c r="AC57" i="2"/>
  <c r="AK57" i="2"/>
  <c r="AE57" i="2"/>
  <c r="X57" i="2"/>
  <c r="AD57" i="2"/>
  <c r="AF57" i="2"/>
  <c r="Y49" i="2"/>
  <c r="AG49" i="2"/>
  <c r="Z49" i="2"/>
  <c r="AH49" i="2"/>
  <c r="AA49" i="2"/>
  <c r="AI49" i="2"/>
  <c r="AB49" i="2"/>
  <c r="AJ49" i="2"/>
  <c r="AC49" i="2"/>
  <c r="AK49" i="2"/>
  <c r="AE49" i="2"/>
  <c r="X49" i="2"/>
  <c r="AF49" i="2"/>
  <c r="AD49" i="2"/>
  <c r="Y41" i="2"/>
  <c r="AG41" i="2"/>
  <c r="Z41" i="2"/>
  <c r="AH41" i="2"/>
  <c r="AA41" i="2"/>
  <c r="AI41" i="2"/>
  <c r="AB41" i="2"/>
  <c r="AJ41" i="2"/>
  <c r="AC41" i="2"/>
  <c r="AK41" i="2"/>
  <c r="AE41" i="2"/>
  <c r="X41" i="2"/>
  <c r="AD41" i="2"/>
  <c r="AF41" i="2"/>
  <c r="Y33" i="2"/>
  <c r="AG33" i="2"/>
  <c r="Z33" i="2"/>
  <c r="AH33" i="2"/>
  <c r="AA33" i="2"/>
  <c r="AI33" i="2"/>
  <c r="AB33" i="2"/>
  <c r="AJ33" i="2"/>
  <c r="AC33" i="2"/>
  <c r="AK33" i="2"/>
  <c r="AE33" i="2"/>
  <c r="X33" i="2"/>
  <c r="AF33" i="2"/>
  <c r="AD33" i="2"/>
  <c r="Y25" i="2"/>
  <c r="AG25" i="2"/>
  <c r="Z25" i="2"/>
  <c r="AH25" i="2"/>
  <c r="AA25" i="2"/>
  <c r="AI25" i="2"/>
  <c r="AB25" i="2"/>
  <c r="AJ25" i="2"/>
  <c r="AC25" i="2"/>
  <c r="AK25" i="2"/>
  <c r="AE25" i="2"/>
  <c r="X25" i="2"/>
  <c r="AD25" i="2"/>
  <c r="AF25" i="2"/>
  <c r="Y17" i="2"/>
  <c r="AG17" i="2"/>
  <c r="Z17" i="2"/>
  <c r="AH17" i="2"/>
  <c r="AA17" i="2"/>
  <c r="AI17" i="2"/>
  <c r="AB17" i="2"/>
  <c r="AJ17" i="2"/>
  <c r="AC17" i="2"/>
  <c r="AK17" i="2"/>
  <c r="AE17" i="2"/>
  <c r="X17" i="2"/>
  <c r="AF17" i="2"/>
  <c r="AD17" i="2"/>
  <c r="Y9" i="2"/>
  <c r="AG9" i="2"/>
  <c r="Z9" i="2"/>
  <c r="AH9" i="2"/>
  <c r="AA9" i="2"/>
  <c r="AI9" i="2"/>
  <c r="AB9" i="2"/>
  <c r="AJ9" i="2"/>
  <c r="AC9" i="2"/>
  <c r="AK9" i="2"/>
  <c r="AE9" i="2"/>
  <c r="X9" i="2"/>
  <c r="AD9" i="2"/>
  <c r="AF9" i="2"/>
  <c r="AQ271" i="2"/>
  <c r="AY271" i="2"/>
  <c r="AR271" i="2"/>
  <c r="AS271" i="2"/>
  <c r="AL271" i="2"/>
  <c r="AT271" i="2"/>
  <c r="AM271" i="2"/>
  <c r="AU271" i="2"/>
  <c r="AO271" i="2"/>
  <c r="AW271" i="2"/>
  <c r="AN271" i="2"/>
  <c r="AP271" i="2"/>
  <c r="AV271" i="2"/>
  <c r="AX271" i="2"/>
  <c r="AM263" i="2"/>
  <c r="AU263" i="2"/>
  <c r="AN263" i="2"/>
  <c r="AV263" i="2"/>
  <c r="AO263" i="2"/>
  <c r="AW263" i="2"/>
  <c r="AP263" i="2"/>
  <c r="AX263" i="2"/>
  <c r="AQ263" i="2"/>
  <c r="AY263" i="2"/>
  <c r="AS263" i="2"/>
  <c r="AL263" i="2"/>
  <c r="AR263" i="2"/>
  <c r="AT263" i="2"/>
  <c r="AM255" i="2"/>
  <c r="AU255" i="2"/>
  <c r="AN255" i="2"/>
  <c r="AV255" i="2"/>
  <c r="AO255" i="2"/>
  <c r="AW255" i="2"/>
  <c r="AP255" i="2"/>
  <c r="AX255" i="2"/>
  <c r="AQ255" i="2"/>
  <c r="AY255" i="2"/>
  <c r="AS255" i="2"/>
  <c r="AR255" i="2"/>
  <c r="AL255" i="2"/>
  <c r="AT255" i="2"/>
  <c r="AM247" i="2"/>
  <c r="AU247" i="2"/>
  <c r="AN247" i="2"/>
  <c r="AV247" i="2"/>
  <c r="AO247" i="2"/>
  <c r="AW247" i="2"/>
  <c r="AP247" i="2"/>
  <c r="AX247" i="2"/>
  <c r="AQ247" i="2"/>
  <c r="AY247" i="2"/>
  <c r="AS247" i="2"/>
  <c r="AL247" i="2"/>
  <c r="AR247" i="2"/>
  <c r="AT247" i="2"/>
  <c r="AM239" i="2"/>
  <c r="AU239" i="2"/>
  <c r="AN239" i="2"/>
  <c r="AV239" i="2"/>
  <c r="AO239" i="2"/>
  <c r="AW239" i="2"/>
  <c r="AP239" i="2"/>
  <c r="AX239" i="2"/>
  <c r="AQ239" i="2"/>
  <c r="AY239" i="2"/>
  <c r="AS239" i="2"/>
  <c r="AR239" i="2"/>
  <c r="AL239" i="2"/>
  <c r="AT239" i="2"/>
  <c r="AM231" i="2"/>
  <c r="AU231" i="2"/>
  <c r="AN231" i="2"/>
  <c r="AV231" i="2"/>
  <c r="AO231" i="2"/>
  <c r="AW231" i="2"/>
  <c r="AP231" i="2"/>
  <c r="AX231" i="2"/>
  <c r="AQ231" i="2"/>
  <c r="AY231" i="2"/>
  <c r="AS231" i="2"/>
  <c r="AL231" i="2"/>
  <c r="AR231" i="2"/>
  <c r="AT231" i="2"/>
  <c r="AM223" i="2"/>
  <c r="AU223" i="2"/>
  <c r="AN223" i="2"/>
  <c r="AV223" i="2"/>
  <c r="AO223" i="2"/>
  <c r="AW223" i="2"/>
  <c r="AP223" i="2"/>
  <c r="AX223" i="2"/>
  <c r="AQ223" i="2"/>
  <c r="AY223" i="2"/>
  <c r="AS223" i="2"/>
  <c r="AR223" i="2"/>
  <c r="AL223" i="2"/>
  <c r="AT223" i="2"/>
  <c r="AM215" i="2"/>
  <c r="AU215" i="2"/>
  <c r="AN215" i="2"/>
  <c r="AV215" i="2"/>
  <c r="AO215" i="2"/>
  <c r="AW215" i="2"/>
  <c r="AP215" i="2"/>
  <c r="AX215" i="2"/>
  <c r="AQ215" i="2"/>
  <c r="AY215" i="2"/>
  <c r="AS215" i="2"/>
  <c r="AL215" i="2"/>
  <c r="AR215" i="2"/>
  <c r="AT215" i="2"/>
  <c r="AM207" i="2"/>
  <c r="AU207" i="2"/>
  <c r="AN207" i="2"/>
  <c r="AV207" i="2"/>
  <c r="AO207" i="2"/>
  <c r="AW207" i="2"/>
  <c r="AP207" i="2"/>
  <c r="AX207" i="2"/>
  <c r="AQ207" i="2"/>
  <c r="AY207" i="2"/>
  <c r="AS207" i="2"/>
  <c r="AR207" i="2"/>
  <c r="AL207" i="2"/>
  <c r="AT207" i="2"/>
  <c r="AM199" i="2"/>
  <c r="AU199" i="2"/>
  <c r="AN199" i="2"/>
  <c r="AV199" i="2"/>
  <c r="AO199" i="2"/>
  <c r="AW199" i="2"/>
  <c r="AP199" i="2"/>
  <c r="AX199" i="2"/>
  <c r="AQ199" i="2"/>
  <c r="AY199" i="2"/>
  <c r="AS199" i="2"/>
  <c r="AL199" i="2"/>
  <c r="AR199" i="2"/>
  <c r="AT199" i="2"/>
  <c r="AM191" i="2"/>
  <c r="AU191" i="2"/>
  <c r="AN191" i="2"/>
  <c r="AV191" i="2"/>
  <c r="AO191" i="2"/>
  <c r="AW191" i="2"/>
  <c r="AP191" i="2"/>
  <c r="AX191" i="2"/>
  <c r="AQ191" i="2"/>
  <c r="AY191" i="2"/>
  <c r="AS191" i="2"/>
  <c r="AR191" i="2"/>
  <c r="AL191" i="2"/>
  <c r="AT191" i="2"/>
  <c r="AM183" i="2"/>
  <c r="AU183" i="2"/>
  <c r="AN183" i="2"/>
  <c r="AV183" i="2"/>
  <c r="AO183" i="2"/>
  <c r="AW183" i="2"/>
  <c r="AP183" i="2"/>
  <c r="AX183" i="2"/>
  <c r="AQ183" i="2"/>
  <c r="AY183" i="2"/>
  <c r="AS183" i="2"/>
  <c r="AL183" i="2"/>
  <c r="AR183" i="2"/>
  <c r="AT183" i="2"/>
  <c r="AM175" i="2"/>
  <c r="AU175" i="2"/>
  <c r="AN175" i="2"/>
  <c r="AV175" i="2"/>
  <c r="AO175" i="2"/>
  <c r="AW175" i="2"/>
  <c r="AP175" i="2"/>
  <c r="AX175" i="2"/>
  <c r="AQ175" i="2"/>
  <c r="AY175" i="2"/>
  <c r="AS175" i="2"/>
  <c r="AR175" i="2"/>
  <c r="AL175" i="2"/>
  <c r="AT175" i="2"/>
  <c r="AM167" i="2"/>
  <c r="AU167" i="2"/>
  <c r="AN167" i="2"/>
  <c r="AV167" i="2"/>
  <c r="AO167" i="2"/>
  <c r="AW167" i="2"/>
  <c r="AP167" i="2"/>
  <c r="AX167" i="2"/>
  <c r="AQ167" i="2"/>
  <c r="AY167" i="2"/>
  <c r="AS167" i="2"/>
  <c r="AL167" i="2"/>
  <c r="AR167" i="2"/>
  <c r="AT167" i="2"/>
  <c r="AM159" i="2"/>
  <c r="AU159" i="2"/>
  <c r="AN159" i="2"/>
  <c r="AV159" i="2"/>
  <c r="AO159" i="2"/>
  <c r="AW159" i="2"/>
  <c r="AP159" i="2"/>
  <c r="AX159" i="2"/>
  <c r="AQ159" i="2"/>
  <c r="AY159" i="2"/>
  <c r="AS159" i="2"/>
  <c r="AR159" i="2"/>
  <c r="AL159" i="2"/>
  <c r="AT159" i="2"/>
  <c r="AM151" i="2"/>
  <c r="AU151" i="2"/>
  <c r="AN151" i="2"/>
  <c r="AV151" i="2"/>
  <c r="AO151" i="2"/>
  <c r="AW151" i="2"/>
  <c r="AP151" i="2"/>
  <c r="AX151" i="2"/>
  <c r="AQ151" i="2"/>
  <c r="AY151" i="2"/>
  <c r="AS151" i="2"/>
  <c r="AL151" i="2"/>
  <c r="AR151" i="2"/>
  <c r="AT151" i="2"/>
  <c r="AN143" i="2"/>
  <c r="AV143" i="2"/>
  <c r="AO143" i="2"/>
  <c r="AW143" i="2"/>
  <c r="AP143" i="2"/>
  <c r="AX143" i="2"/>
  <c r="AQ143" i="2"/>
  <c r="AY143" i="2"/>
  <c r="AR143" i="2"/>
  <c r="AS143" i="2"/>
  <c r="AL143" i="2"/>
  <c r="AT143" i="2"/>
  <c r="AM143" i="2"/>
  <c r="AU143" i="2"/>
  <c r="AN135" i="2"/>
  <c r="AV135" i="2"/>
  <c r="AO135" i="2"/>
  <c r="AW135" i="2"/>
  <c r="AP135" i="2"/>
  <c r="AX135" i="2"/>
  <c r="AQ135" i="2"/>
  <c r="AY135" i="2"/>
  <c r="AR135" i="2"/>
  <c r="AS135" i="2"/>
  <c r="AL135" i="2"/>
  <c r="AM135" i="2"/>
  <c r="AT135" i="2"/>
  <c r="AU135" i="2"/>
  <c r="AN127" i="2"/>
  <c r="AV127" i="2"/>
  <c r="AO127" i="2"/>
  <c r="AW127" i="2"/>
  <c r="AP127" i="2"/>
  <c r="AX127" i="2"/>
  <c r="AQ127" i="2"/>
  <c r="AY127" i="2"/>
  <c r="AR127" i="2"/>
  <c r="AS127" i="2"/>
  <c r="AL127" i="2"/>
  <c r="AT127" i="2"/>
  <c r="AM127" i="2"/>
  <c r="AU127" i="2"/>
  <c r="AO119" i="2"/>
  <c r="AW119" i="2"/>
  <c r="AR119" i="2"/>
  <c r="AS119" i="2"/>
  <c r="AM119" i="2"/>
  <c r="AU119" i="2"/>
  <c r="AT119" i="2"/>
  <c r="AV119" i="2"/>
  <c r="AX119" i="2"/>
  <c r="AY119" i="2"/>
  <c r="AL119" i="2"/>
  <c r="AN119" i="2"/>
  <c r="AP119" i="2"/>
  <c r="AQ119" i="2"/>
  <c r="AO111" i="2"/>
  <c r="AW111" i="2"/>
  <c r="AR111" i="2"/>
  <c r="AS111" i="2"/>
  <c r="AM111" i="2"/>
  <c r="AU111" i="2"/>
  <c r="AT111" i="2"/>
  <c r="AV111" i="2"/>
  <c r="AX111" i="2"/>
  <c r="AY111" i="2"/>
  <c r="AL111" i="2"/>
  <c r="AN111" i="2"/>
  <c r="AP111" i="2"/>
  <c r="AQ111" i="2"/>
  <c r="AO103" i="2"/>
  <c r="AW103" i="2"/>
  <c r="AR103" i="2"/>
  <c r="AS103" i="2"/>
  <c r="AM103" i="2"/>
  <c r="AU103" i="2"/>
  <c r="AT103" i="2"/>
  <c r="AV103" i="2"/>
  <c r="AX103" i="2"/>
  <c r="AY103" i="2"/>
  <c r="AL103" i="2"/>
  <c r="AN103" i="2"/>
  <c r="AP103" i="2"/>
  <c r="AQ103" i="2"/>
  <c r="AO95" i="2"/>
  <c r="AW95" i="2"/>
  <c r="AR95" i="2"/>
  <c r="AS95" i="2"/>
  <c r="AM95" i="2"/>
  <c r="AU95" i="2"/>
  <c r="AT95" i="2"/>
  <c r="AV95" i="2"/>
  <c r="AX95" i="2"/>
  <c r="AY95" i="2"/>
  <c r="AL95" i="2"/>
  <c r="AN95" i="2"/>
  <c r="AP95" i="2"/>
  <c r="AQ95" i="2"/>
  <c r="AO87" i="2"/>
  <c r="AW87" i="2"/>
  <c r="AR87" i="2"/>
  <c r="AS87" i="2"/>
  <c r="AM87" i="2"/>
  <c r="AU87" i="2"/>
  <c r="AT87" i="2"/>
  <c r="AV87" i="2"/>
  <c r="AX87" i="2"/>
  <c r="AY87" i="2"/>
  <c r="AL87" i="2"/>
  <c r="AN87" i="2"/>
  <c r="AP87" i="2"/>
  <c r="AQ87" i="2"/>
  <c r="AM79" i="2"/>
  <c r="AU79" i="2"/>
  <c r="AN79" i="2"/>
  <c r="AV79" i="2"/>
  <c r="AO79" i="2"/>
  <c r="AW79" i="2"/>
  <c r="AP79" i="2"/>
  <c r="AX79" i="2"/>
  <c r="AQ79" i="2"/>
  <c r="AY79" i="2"/>
  <c r="AS79" i="2"/>
  <c r="AT79" i="2"/>
  <c r="AL79" i="2"/>
  <c r="AR79" i="2"/>
  <c r="AM71" i="2"/>
  <c r="AU71" i="2"/>
  <c r="AN71" i="2"/>
  <c r="AV71" i="2"/>
  <c r="AO71" i="2"/>
  <c r="AW71" i="2"/>
  <c r="AP71" i="2"/>
  <c r="AX71" i="2"/>
  <c r="AQ71" i="2"/>
  <c r="AY71" i="2"/>
  <c r="AS71" i="2"/>
  <c r="AR71" i="2"/>
  <c r="AL71" i="2"/>
  <c r="AT71" i="2"/>
  <c r="AM63" i="2"/>
  <c r="AU63" i="2"/>
  <c r="AN63" i="2"/>
  <c r="AV63" i="2"/>
  <c r="AO63" i="2"/>
  <c r="AW63" i="2"/>
  <c r="AP63" i="2"/>
  <c r="AX63" i="2"/>
  <c r="AQ63" i="2"/>
  <c r="AY63" i="2"/>
  <c r="AS63" i="2"/>
  <c r="AL63" i="2"/>
  <c r="AR63" i="2"/>
  <c r="AT63" i="2"/>
  <c r="AM55" i="2"/>
  <c r="AU55" i="2"/>
  <c r="AN55" i="2"/>
  <c r="AV55" i="2"/>
  <c r="AO55" i="2"/>
  <c r="AW55" i="2"/>
  <c r="AP55" i="2"/>
  <c r="AX55" i="2"/>
  <c r="AQ55" i="2"/>
  <c r="AY55" i="2"/>
  <c r="AS55" i="2"/>
  <c r="AR55" i="2"/>
  <c r="AL55" i="2"/>
  <c r="AT55" i="2"/>
  <c r="AS47" i="2"/>
  <c r="AM47" i="2"/>
  <c r="AU47" i="2"/>
  <c r="AN47" i="2"/>
  <c r="AV47" i="2"/>
  <c r="AO47" i="2"/>
  <c r="AW47" i="2"/>
  <c r="AP47" i="2"/>
  <c r="AX47" i="2"/>
  <c r="AL47" i="2"/>
  <c r="AQ47" i="2"/>
  <c r="AR47" i="2"/>
  <c r="AT47" i="2"/>
  <c r="AY47" i="2"/>
  <c r="AS39" i="2"/>
  <c r="AM39" i="2"/>
  <c r="AU39" i="2"/>
  <c r="AN39" i="2"/>
  <c r="AV39" i="2"/>
  <c r="AO39" i="2"/>
  <c r="AW39" i="2"/>
  <c r="AP39" i="2"/>
  <c r="AX39" i="2"/>
  <c r="AR39" i="2"/>
  <c r="AT39" i="2"/>
  <c r="AY39" i="2"/>
  <c r="AL39" i="2"/>
  <c r="AQ39" i="2"/>
  <c r="AS31" i="2"/>
  <c r="AM31" i="2"/>
  <c r="AU31" i="2"/>
  <c r="AN31" i="2"/>
  <c r="AV31" i="2"/>
  <c r="AO31" i="2"/>
  <c r="AW31" i="2"/>
  <c r="AP31" i="2"/>
  <c r="AX31" i="2"/>
  <c r="AY31" i="2"/>
  <c r="AL31" i="2"/>
  <c r="AR31" i="2"/>
  <c r="AQ31" i="2"/>
  <c r="AT31" i="2"/>
  <c r="AS23" i="2"/>
  <c r="AM23" i="2"/>
  <c r="AU23" i="2"/>
  <c r="AN23" i="2"/>
  <c r="AV23" i="2"/>
  <c r="AO23" i="2"/>
  <c r="AW23" i="2"/>
  <c r="AP23" i="2"/>
  <c r="AX23" i="2"/>
  <c r="AL23" i="2"/>
  <c r="AQ23" i="2"/>
  <c r="AR23" i="2"/>
  <c r="AY23" i="2"/>
  <c r="AT23" i="2"/>
  <c r="AR15" i="2"/>
  <c r="AS15" i="2"/>
  <c r="AL15" i="2"/>
  <c r="AT15" i="2"/>
  <c r="AM15" i="2"/>
  <c r="AU15" i="2"/>
  <c r="AN15" i="2"/>
  <c r="AV15" i="2"/>
  <c r="AO15" i="2"/>
  <c r="AW15" i="2"/>
  <c r="AP15" i="2"/>
  <c r="AX15" i="2"/>
  <c r="AQ15" i="2"/>
  <c r="AY15" i="2"/>
  <c r="AR7" i="2"/>
  <c r="AS7" i="2"/>
  <c r="AL7" i="2"/>
  <c r="AT7" i="2"/>
  <c r="AM7" i="2"/>
  <c r="AU7" i="2"/>
  <c r="AN7" i="2"/>
  <c r="AV7" i="2"/>
  <c r="AO7" i="2"/>
  <c r="AW7" i="2"/>
  <c r="AP7" i="2"/>
  <c r="AX7" i="2"/>
  <c r="AY7" i="2"/>
  <c r="AQ7" i="2"/>
  <c r="AI3" i="2"/>
  <c r="AJ272" i="2"/>
  <c r="Y272" i="2"/>
  <c r="AC271" i="2"/>
  <c r="AF270" i="2"/>
  <c r="AH269" i="2"/>
  <c r="AE268" i="2"/>
  <c r="Y267" i="2"/>
  <c r="AE265" i="2"/>
  <c r="AK263" i="2"/>
  <c r="AE262" i="2"/>
  <c r="AC260" i="2"/>
  <c r="Y258" i="2"/>
  <c r="AI255" i="2"/>
  <c r="AE253" i="2"/>
  <c r="AA251" i="2"/>
  <c r="AK248" i="2"/>
  <c r="AG246" i="2"/>
  <c r="AC244" i="2"/>
  <c r="Y242" i="2"/>
  <c r="AI239" i="2"/>
  <c r="AE237" i="2"/>
  <c r="AA235" i="2"/>
  <c r="AK232" i="2"/>
  <c r="AG230" i="2"/>
  <c r="AC228" i="2"/>
  <c r="Y226" i="2"/>
  <c r="AI223" i="2"/>
  <c r="AE221" i="2"/>
  <c r="AA219" i="2"/>
  <c r="AH216" i="2"/>
  <c r="Z212" i="2"/>
  <c r="AF207" i="2"/>
  <c r="X203" i="2"/>
  <c r="AD198" i="2"/>
  <c r="AJ193" i="2"/>
  <c r="AB189" i="2"/>
  <c r="AH184" i="2"/>
  <c r="Z180" i="2"/>
  <c r="AF175" i="2"/>
  <c r="X171" i="2"/>
  <c r="AD166" i="2"/>
  <c r="AJ161" i="2"/>
  <c r="AB157" i="2"/>
  <c r="AH152" i="2"/>
  <c r="Z148" i="2"/>
  <c r="Y142" i="2"/>
  <c r="AA122" i="2"/>
  <c r="Y98" i="2"/>
  <c r="AE73" i="2"/>
  <c r="CW242" i="1"/>
  <c r="DF175" i="1"/>
  <c r="DL75" i="1"/>
  <c r="DU106" i="1"/>
  <c r="CW210" i="1"/>
  <c r="DF48" i="1"/>
  <c r="DO218" i="1"/>
  <c r="DX204" i="1"/>
  <c r="CW178" i="1"/>
  <c r="DF47" i="1"/>
  <c r="DO90" i="1"/>
  <c r="DX203" i="1"/>
  <c r="CW146" i="1"/>
  <c r="DI190" i="1"/>
  <c r="DR220" i="1"/>
  <c r="DX34" i="1"/>
  <c r="CW114" i="1"/>
  <c r="DI62" i="1"/>
  <c r="DR218" i="1"/>
  <c r="EA90" i="1"/>
  <c r="CW82" i="1"/>
  <c r="DC162" i="1"/>
  <c r="DR48" i="1"/>
  <c r="EG234" i="1"/>
  <c r="CW50" i="1"/>
  <c r="CV50" i="1" s="1"/>
  <c r="DC34" i="1"/>
  <c r="DL203" i="1"/>
  <c r="DR47" i="1"/>
  <c r="EG107" i="1"/>
  <c r="CW18" i="1"/>
  <c r="DF176" i="1"/>
  <c r="DL76" i="1"/>
  <c r="CW257" i="1"/>
  <c r="CW225" i="1"/>
  <c r="CW193" i="1"/>
  <c r="CW161" i="1"/>
  <c r="CW129" i="1"/>
  <c r="CW97" i="1"/>
  <c r="CW65" i="1"/>
  <c r="CW33" i="1"/>
  <c r="DC194" i="1"/>
  <c r="DC66" i="1"/>
  <c r="DF208" i="1"/>
  <c r="DF80" i="1"/>
  <c r="DI222" i="1"/>
  <c r="DI94" i="1"/>
  <c r="DL236" i="1"/>
  <c r="DL108" i="1"/>
  <c r="DO250" i="1"/>
  <c r="DO122" i="1"/>
  <c r="DR262" i="1"/>
  <c r="DU189" i="1"/>
  <c r="DX248" i="1"/>
  <c r="EA175" i="1"/>
  <c r="ED93" i="1"/>
  <c r="CW250" i="1"/>
  <c r="CW218" i="1"/>
  <c r="CW186" i="1"/>
  <c r="CW154" i="1"/>
  <c r="CW122" i="1"/>
  <c r="CW90" i="1"/>
  <c r="CW58" i="1"/>
  <c r="CW26" i="1"/>
  <c r="DC193" i="1"/>
  <c r="DC65" i="1"/>
  <c r="DI221" i="1"/>
  <c r="DI93" i="1"/>
  <c r="DL235" i="1"/>
  <c r="DO249" i="1"/>
  <c r="DO121" i="1"/>
  <c r="DR261" i="1"/>
  <c r="DR90" i="1"/>
  <c r="DX246" i="1"/>
  <c r="DX75" i="1"/>
  <c r="EA134" i="1"/>
  <c r="EM18" i="1"/>
  <c r="CW249" i="1"/>
  <c r="CW217" i="1"/>
  <c r="CW185" i="1"/>
  <c r="CW153" i="1"/>
  <c r="CW121" i="1"/>
  <c r="CW89" i="1"/>
  <c r="CW57" i="1"/>
  <c r="CW25" i="1"/>
  <c r="EM17" i="1"/>
  <c r="DC161" i="1"/>
  <c r="DC33" i="1"/>
  <c r="DI189" i="1"/>
  <c r="DI61" i="1"/>
  <c r="DO217" i="1"/>
  <c r="DO89" i="1"/>
  <c r="EA89" i="1"/>
  <c r="CW241" i="1"/>
  <c r="CW209" i="1"/>
  <c r="CW177" i="1"/>
  <c r="CW145" i="1"/>
  <c r="CW113" i="1"/>
  <c r="CW81" i="1"/>
  <c r="CW49" i="1"/>
  <c r="CW17" i="1"/>
  <c r="DC258" i="1"/>
  <c r="DC130" i="1"/>
  <c r="DF272" i="1"/>
  <c r="DI158" i="1"/>
  <c r="DI30" i="1"/>
  <c r="DO186" i="1"/>
  <c r="DO58" i="1"/>
  <c r="DR176" i="1"/>
  <c r="DR6" i="1"/>
  <c r="DU62" i="1"/>
  <c r="DX162" i="1"/>
  <c r="EA262" i="1"/>
  <c r="EA48" i="1"/>
  <c r="EG106" i="1"/>
  <c r="CW266" i="1"/>
  <c r="CW234" i="1"/>
  <c r="CW202" i="1"/>
  <c r="CW170" i="1"/>
  <c r="CW138" i="1"/>
  <c r="CW106" i="1"/>
  <c r="CW74" i="1"/>
  <c r="CW42" i="1"/>
  <c r="CW10" i="1"/>
  <c r="DI157" i="1"/>
  <c r="DI29" i="1"/>
  <c r="DO185" i="1"/>
  <c r="DO57" i="1"/>
  <c r="DR5" i="1"/>
  <c r="DU61" i="1"/>
  <c r="EA218" i="1"/>
  <c r="EJ249" i="1"/>
  <c r="CW265" i="1"/>
  <c r="CW233" i="1"/>
  <c r="CW201" i="1"/>
  <c r="CW169" i="1"/>
  <c r="CW137" i="1"/>
  <c r="CW105" i="1"/>
  <c r="CW73" i="1"/>
  <c r="CW41" i="1"/>
  <c r="CW9" i="1"/>
  <c r="DC226" i="1"/>
  <c r="DC98" i="1"/>
  <c r="DF240" i="1"/>
  <c r="DF112" i="1"/>
  <c r="DI254" i="1"/>
  <c r="DI126" i="1"/>
  <c r="DL268" i="1"/>
  <c r="DO154" i="1"/>
  <c r="DO26" i="1"/>
  <c r="DR134" i="1"/>
  <c r="DU234" i="1"/>
  <c r="EA217" i="1"/>
  <c r="ED261" i="1"/>
  <c r="EJ121" i="1"/>
  <c r="CW226" i="1"/>
  <c r="CW194" i="1"/>
  <c r="CW98" i="1"/>
  <c r="CW66" i="1"/>
  <c r="DC225" i="1"/>
  <c r="DC97" i="1"/>
  <c r="DI253" i="1"/>
  <c r="DI125" i="1"/>
  <c r="DO153" i="1"/>
  <c r="DO25" i="1"/>
  <c r="DR133" i="1"/>
  <c r="DU190" i="1"/>
  <c r="DX118" i="1"/>
  <c r="EA176" i="1"/>
  <c r="ED197" i="1"/>
  <c r="ET268" i="1"/>
  <c r="EN268" i="1"/>
  <c r="EQ268" i="1"/>
  <c r="EK268" i="1"/>
  <c r="EH268" i="1"/>
  <c r="EB268" i="1"/>
  <c r="DY268" i="1"/>
  <c r="DV268" i="1"/>
  <c r="EE268" i="1"/>
  <c r="DJ268" i="1"/>
  <c r="DS268" i="1"/>
  <c r="DP268" i="1"/>
  <c r="DM268" i="1"/>
  <c r="DD268" i="1"/>
  <c r="CX268" i="1"/>
  <c r="DA268" i="1"/>
  <c r="CY268" i="1" s="1"/>
  <c r="DG268" i="1"/>
  <c r="ET240" i="1"/>
  <c r="EN240" i="1"/>
  <c r="EQ240" i="1"/>
  <c r="EK240" i="1"/>
  <c r="EE240" i="1"/>
  <c r="EH240" i="1"/>
  <c r="DY240" i="1"/>
  <c r="EB240" i="1"/>
  <c r="DP240" i="1"/>
  <c r="DJ240" i="1"/>
  <c r="DM240" i="1"/>
  <c r="CX240" i="1"/>
  <c r="DG240" i="1"/>
  <c r="DD240" i="1"/>
  <c r="DV240" i="1"/>
  <c r="DA240" i="1"/>
  <c r="CY240" i="1" s="1"/>
  <c r="DS240" i="1"/>
  <c r="ET216" i="1"/>
  <c r="EN216" i="1"/>
  <c r="EQ216" i="1"/>
  <c r="EK216" i="1"/>
  <c r="EH216" i="1"/>
  <c r="EE216" i="1"/>
  <c r="DY216" i="1"/>
  <c r="EB216" i="1"/>
  <c r="DP216" i="1"/>
  <c r="DJ216" i="1"/>
  <c r="DV216" i="1"/>
  <c r="DS216" i="1"/>
  <c r="DA216" i="1"/>
  <c r="CY216" i="1" s="1"/>
  <c r="DD216" i="1"/>
  <c r="CX216" i="1"/>
  <c r="DM216" i="1"/>
  <c r="DG216" i="1"/>
  <c r="ET176" i="1"/>
  <c r="EN176" i="1"/>
  <c r="EQ176" i="1"/>
  <c r="EK176" i="1"/>
  <c r="EE176" i="1"/>
  <c r="EH176" i="1"/>
  <c r="DY176" i="1"/>
  <c r="EB176" i="1"/>
  <c r="DP176" i="1"/>
  <c r="DV176" i="1"/>
  <c r="DS176" i="1"/>
  <c r="DJ176" i="1"/>
  <c r="DM176" i="1"/>
  <c r="CX176" i="1"/>
  <c r="CV176" i="1" s="1"/>
  <c r="DA176" i="1"/>
  <c r="CY176" i="1" s="1"/>
  <c r="DG176" i="1"/>
  <c r="DD176" i="1"/>
  <c r="ET152" i="1"/>
  <c r="EN152" i="1"/>
  <c r="EQ152" i="1"/>
  <c r="EK152" i="1"/>
  <c r="EH152" i="1"/>
  <c r="EE152" i="1"/>
  <c r="DY152" i="1"/>
  <c r="EB152" i="1"/>
  <c r="DP152" i="1"/>
  <c r="DV152" i="1"/>
  <c r="DJ152" i="1"/>
  <c r="DS152" i="1"/>
  <c r="DM152" i="1"/>
  <c r="DA152" i="1"/>
  <c r="CY152" i="1" s="1"/>
  <c r="DD152" i="1"/>
  <c r="CX152" i="1"/>
  <c r="DG152" i="1"/>
  <c r="EQ120" i="1"/>
  <c r="ET120" i="1"/>
  <c r="EN120" i="1"/>
  <c r="EK120" i="1"/>
  <c r="EH120" i="1"/>
  <c r="EE120" i="1"/>
  <c r="DY120" i="1"/>
  <c r="EB120" i="1"/>
  <c r="DP120" i="1"/>
  <c r="DJ120" i="1"/>
  <c r="DV120" i="1"/>
  <c r="DS120" i="1"/>
  <c r="DM120" i="1"/>
  <c r="DA120" i="1"/>
  <c r="CY120" i="1" s="1"/>
  <c r="DD120" i="1"/>
  <c r="DG120" i="1"/>
  <c r="CX120" i="1"/>
  <c r="EQ88" i="1"/>
  <c r="ET88" i="1"/>
  <c r="EN88" i="1"/>
  <c r="EK88" i="1"/>
  <c r="EE88" i="1"/>
  <c r="DY88" i="1"/>
  <c r="EB88" i="1"/>
  <c r="EH88" i="1"/>
  <c r="DP88" i="1"/>
  <c r="DV88" i="1"/>
  <c r="DJ88" i="1"/>
  <c r="DS88" i="1"/>
  <c r="DA88" i="1"/>
  <c r="CY88" i="1" s="1"/>
  <c r="DD88" i="1"/>
  <c r="CX88" i="1"/>
  <c r="CV88" i="1" s="1"/>
  <c r="DM88" i="1"/>
  <c r="DG88" i="1"/>
  <c r="EQ72" i="1"/>
  <c r="ET72" i="1"/>
  <c r="EN72" i="1"/>
  <c r="EK72" i="1"/>
  <c r="EE72" i="1"/>
  <c r="EB72" i="1"/>
  <c r="DY72" i="1"/>
  <c r="EH72" i="1"/>
  <c r="DP72" i="1"/>
  <c r="DM72" i="1"/>
  <c r="DV72" i="1"/>
  <c r="DS72" i="1"/>
  <c r="DJ72" i="1"/>
  <c r="DG72" i="1"/>
  <c r="DE72" i="1" s="1"/>
  <c r="DA72" i="1"/>
  <c r="CY72" i="1" s="1"/>
  <c r="DD72" i="1"/>
  <c r="CX72" i="1"/>
  <c r="EQ48" i="1"/>
  <c r="ET48" i="1"/>
  <c r="EN48" i="1"/>
  <c r="EH48" i="1"/>
  <c r="EK48" i="1"/>
  <c r="EE48" i="1"/>
  <c r="EB48" i="1"/>
  <c r="DY48" i="1"/>
  <c r="DP48" i="1"/>
  <c r="DS48" i="1"/>
  <c r="DM48" i="1"/>
  <c r="DJ48" i="1"/>
  <c r="DV48" i="1"/>
  <c r="DG48" i="1"/>
  <c r="CX48" i="1"/>
  <c r="CV48" i="1" s="1"/>
  <c r="DA48" i="1"/>
  <c r="CY48" i="1" s="1"/>
  <c r="DD48" i="1"/>
  <c r="EQ24" i="1"/>
  <c r="ET24" i="1"/>
  <c r="EN24" i="1"/>
  <c r="EH24" i="1"/>
  <c r="EK24" i="1"/>
  <c r="EB24" i="1"/>
  <c r="EE24" i="1"/>
  <c r="DY24" i="1"/>
  <c r="DV24" i="1"/>
  <c r="DP24" i="1"/>
  <c r="DJ24" i="1"/>
  <c r="DS24" i="1"/>
  <c r="DM24" i="1"/>
  <c r="DA24" i="1"/>
  <c r="CY24" i="1" s="1"/>
  <c r="DG24" i="1"/>
  <c r="DD24" i="1"/>
  <c r="CX24" i="1"/>
  <c r="EP256" i="1"/>
  <c r="EM256" i="1"/>
  <c r="ES256" i="1"/>
  <c r="EG256" i="1"/>
  <c r="EJ256" i="1"/>
  <c r="DU256" i="1"/>
  <c r="DI256" i="1"/>
  <c r="EA256" i="1"/>
  <c r="DR256" i="1"/>
  <c r="DL256" i="1"/>
  <c r="ED256" i="1"/>
  <c r="DX256" i="1"/>
  <c r="DO256" i="1"/>
  <c r="DC256" i="1"/>
  <c r="EP232" i="1"/>
  <c r="ES232" i="1"/>
  <c r="EG232" i="1"/>
  <c r="ED232" i="1"/>
  <c r="EA232" i="1"/>
  <c r="DR232" i="1"/>
  <c r="DI232" i="1"/>
  <c r="EJ232" i="1"/>
  <c r="DX232" i="1"/>
  <c r="DL232" i="1"/>
  <c r="DO232" i="1"/>
  <c r="DC232" i="1"/>
  <c r="EP212" i="1"/>
  <c r="EM212" i="1"/>
  <c r="EG212" i="1"/>
  <c r="EJ212" i="1"/>
  <c r="ES212" i="1"/>
  <c r="DR212" i="1"/>
  <c r="DO212" i="1"/>
  <c r="DC212" i="1"/>
  <c r="EA212" i="1"/>
  <c r="DF212" i="1"/>
  <c r="DX212" i="1"/>
  <c r="DI212" i="1"/>
  <c r="ES184" i="1"/>
  <c r="EM184" i="1"/>
  <c r="EG184" i="1"/>
  <c r="ED184" i="1"/>
  <c r="DI184" i="1"/>
  <c r="DU184" i="1"/>
  <c r="DL184" i="1"/>
  <c r="EP184" i="1"/>
  <c r="EA184" i="1"/>
  <c r="DR184" i="1"/>
  <c r="DO184" i="1"/>
  <c r="DC184" i="1"/>
  <c r="EP160" i="1"/>
  <c r="ES160" i="1"/>
  <c r="EM160" i="1"/>
  <c r="ED160" i="1"/>
  <c r="EG160" i="1"/>
  <c r="EJ160" i="1"/>
  <c r="DU160" i="1"/>
  <c r="DI160" i="1"/>
  <c r="EA160" i="1"/>
  <c r="DR160" i="1"/>
  <c r="DL160" i="1"/>
  <c r="DX160" i="1"/>
  <c r="DO160" i="1"/>
  <c r="DC160" i="1"/>
  <c r="EP144" i="1"/>
  <c r="ES144" i="1"/>
  <c r="EM144" i="1"/>
  <c r="ED144" i="1"/>
  <c r="EG144" i="1"/>
  <c r="DX144" i="1"/>
  <c r="DI144" i="1"/>
  <c r="DL144" i="1"/>
  <c r="EJ144" i="1"/>
  <c r="DU144" i="1"/>
  <c r="DO144" i="1"/>
  <c r="DC144" i="1"/>
  <c r="ES120" i="1"/>
  <c r="EM120" i="1"/>
  <c r="ED120" i="1"/>
  <c r="EG120" i="1"/>
  <c r="DI120" i="1"/>
  <c r="DU120" i="1"/>
  <c r="DL120" i="1"/>
  <c r="EA120" i="1"/>
  <c r="DR120" i="1"/>
  <c r="DO120" i="1"/>
  <c r="DC120" i="1"/>
  <c r="EM104" i="1"/>
  <c r="EP104" i="1"/>
  <c r="ED104" i="1"/>
  <c r="ES104" i="1"/>
  <c r="EG104" i="1"/>
  <c r="EA104" i="1"/>
  <c r="DR104" i="1"/>
  <c r="DI104" i="1"/>
  <c r="EJ104" i="1"/>
  <c r="DX104" i="1"/>
  <c r="DL104" i="1"/>
  <c r="DO104" i="1"/>
  <c r="DC104" i="1"/>
  <c r="EG92" i="1"/>
  <c r="EJ92" i="1"/>
  <c r="EP92" i="1"/>
  <c r="EM92" i="1"/>
  <c r="EA92" i="1"/>
  <c r="DO92" i="1"/>
  <c r="DC92" i="1"/>
  <c r="ES92" i="1"/>
  <c r="DX92" i="1"/>
  <c r="DF92" i="1"/>
  <c r="DU92" i="1"/>
  <c r="DI92" i="1"/>
  <c r="ES68" i="1"/>
  <c r="EM68" i="1"/>
  <c r="EG68" i="1"/>
  <c r="EP68" i="1"/>
  <c r="ED68" i="1"/>
  <c r="DX68" i="1"/>
  <c r="DO68" i="1"/>
  <c r="DC68" i="1"/>
  <c r="EJ68" i="1"/>
  <c r="DU68" i="1"/>
  <c r="DF68" i="1"/>
  <c r="DR68" i="1"/>
  <c r="DI68" i="1"/>
  <c r="ES44" i="1"/>
  <c r="EP44" i="1"/>
  <c r="EG44" i="1"/>
  <c r="EM44" i="1"/>
  <c r="EJ44" i="1"/>
  <c r="DU44" i="1"/>
  <c r="DO44" i="1"/>
  <c r="DC44" i="1"/>
  <c r="ED44" i="1"/>
  <c r="DR44" i="1"/>
  <c r="DF44" i="1"/>
  <c r="EA44" i="1"/>
  <c r="DI44" i="1"/>
  <c r="EP16" i="1"/>
  <c r="EJ16" i="1"/>
  <c r="ES16" i="1"/>
  <c r="EM16" i="1"/>
  <c r="EA16" i="1"/>
  <c r="ED16" i="1"/>
  <c r="EG16" i="1"/>
  <c r="DX16" i="1"/>
  <c r="DI16" i="1"/>
  <c r="DL16" i="1"/>
  <c r="DU16" i="1"/>
  <c r="DO16" i="1"/>
  <c r="DC16" i="1"/>
  <c r="DU232" i="1"/>
  <c r="DU104" i="1"/>
  <c r="EA260" i="1"/>
  <c r="ED196" i="1"/>
  <c r="EN271" i="1"/>
  <c r="EK271" i="1"/>
  <c r="ET271" i="1"/>
  <c r="EQ271" i="1"/>
  <c r="EE271" i="1"/>
  <c r="EH271" i="1"/>
  <c r="EB271" i="1"/>
  <c r="DY271" i="1"/>
  <c r="DS271" i="1"/>
  <c r="DM271" i="1"/>
  <c r="DG271" i="1"/>
  <c r="DE271" i="1" s="1"/>
  <c r="DV271" i="1"/>
  <c r="DA271" i="1"/>
  <c r="CY271" i="1" s="1"/>
  <c r="DP271" i="1"/>
  <c r="DD271" i="1"/>
  <c r="CX271" i="1"/>
  <c r="EQ267" i="1"/>
  <c r="ET267" i="1"/>
  <c r="EH267" i="1"/>
  <c r="EK267" i="1"/>
  <c r="EN267" i="1"/>
  <c r="EB267" i="1"/>
  <c r="DY267" i="1"/>
  <c r="EE267" i="1"/>
  <c r="DM267" i="1"/>
  <c r="DK267" i="1" s="1"/>
  <c r="DV267" i="1"/>
  <c r="DS267" i="1"/>
  <c r="DA267" i="1"/>
  <c r="CY267" i="1" s="1"/>
  <c r="DD267" i="1"/>
  <c r="DG267" i="1"/>
  <c r="CX267" i="1"/>
  <c r="DJ267" i="1"/>
  <c r="DP267" i="1"/>
  <c r="ET263" i="1"/>
  <c r="EQ263" i="1"/>
  <c r="EN263" i="1"/>
  <c r="EK263" i="1"/>
  <c r="EE263" i="1"/>
  <c r="EH263" i="1"/>
  <c r="EB263" i="1"/>
  <c r="DV263" i="1"/>
  <c r="DP263" i="1"/>
  <c r="DM263" i="1"/>
  <c r="DG263" i="1"/>
  <c r="DY263" i="1"/>
  <c r="DA263" i="1"/>
  <c r="CY263" i="1" s="1"/>
  <c r="DJ263" i="1"/>
  <c r="CX263" i="1"/>
  <c r="DS263" i="1"/>
  <c r="EQ259" i="1"/>
  <c r="ET259" i="1"/>
  <c r="EN259" i="1"/>
  <c r="EK259" i="1"/>
  <c r="EH259" i="1"/>
  <c r="EE259" i="1"/>
  <c r="DY259" i="1"/>
  <c r="DM259" i="1"/>
  <c r="DS259" i="1"/>
  <c r="EB259" i="1"/>
  <c r="DA259" i="1"/>
  <c r="CY259" i="1" s="1"/>
  <c r="DV259" i="1"/>
  <c r="DD259" i="1"/>
  <c r="DJ259" i="1"/>
  <c r="DG259" i="1"/>
  <c r="CX259" i="1"/>
  <c r="DP259" i="1"/>
  <c r="ET255" i="1"/>
  <c r="EK255" i="1"/>
  <c r="EE255" i="1"/>
  <c r="EN255" i="1"/>
  <c r="EH255" i="1"/>
  <c r="EB255" i="1"/>
  <c r="EQ255" i="1"/>
  <c r="DV255" i="1"/>
  <c r="DY255" i="1"/>
  <c r="DP255" i="1"/>
  <c r="DM255" i="1"/>
  <c r="DG255" i="1"/>
  <c r="DS255" i="1"/>
  <c r="DA255" i="1"/>
  <c r="CY255" i="1" s="1"/>
  <c r="DD255" i="1"/>
  <c r="DJ255" i="1"/>
  <c r="CX255" i="1"/>
  <c r="EQ251" i="1"/>
  <c r="ET251" i="1"/>
  <c r="EN251" i="1"/>
  <c r="EH251" i="1"/>
  <c r="EK251" i="1"/>
  <c r="EE251" i="1"/>
  <c r="EB251" i="1"/>
  <c r="DY251" i="1"/>
  <c r="DV251" i="1"/>
  <c r="DP251" i="1"/>
  <c r="DM251" i="1"/>
  <c r="DS251" i="1"/>
  <c r="DA251" i="1"/>
  <c r="CY251" i="1" s="1"/>
  <c r="DD251" i="1"/>
  <c r="DG251" i="1"/>
  <c r="CX251" i="1"/>
  <c r="DJ251" i="1"/>
  <c r="ET247" i="1"/>
  <c r="EN247" i="1"/>
  <c r="EQ247" i="1"/>
  <c r="EK247" i="1"/>
  <c r="EH247" i="1"/>
  <c r="EE247" i="1"/>
  <c r="EB247" i="1"/>
  <c r="DY247" i="1"/>
  <c r="DS247" i="1"/>
  <c r="DV247" i="1"/>
  <c r="DP247" i="1"/>
  <c r="DM247" i="1"/>
  <c r="DG247" i="1"/>
  <c r="DA247" i="1"/>
  <c r="CY247" i="1" s="1"/>
  <c r="DD247" i="1"/>
  <c r="CX247" i="1"/>
  <c r="DJ247" i="1"/>
  <c r="EQ243" i="1"/>
  <c r="ET243" i="1"/>
  <c r="EN243" i="1"/>
  <c r="EK243" i="1"/>
  <c r="EE243" i="1"/>
  <c r="EH243" i="1"/>
  <c r="EB243" i="1"/>
  <c r="DP243" i="1"/>
  <c r="DM243" i="1"/>
  <c r="DV243" i="1"/>
  <c r="DY243" i="1"/>
  <c r="DS243" i="1"/>
  <c r="DA243" i="1"/>
  <c r="CY243" i="1" s="1"/>
  <c r="DD243" i="1"/>
  <c r="DJ243" i="1"/>
  <c r="DG243" i="1"/>
  <c r="CX243" i="1"/>
  <c r="EK239" i="1"/>
  <c r="EN239" i="1"/>
  <c r="EE239" i="1"/>
  <c r="EH239" i="1"/>
  <c r="ET239" i="1"/>
  <c r="EQ239" i="1"/>
  <c r="EB239" i="1"/>
  <c r="DY239" i="1"/>
  <c r="DS239" i="1"/>
  <c r="DM239" i="1"/>
  <c r="DG239" i="1"/>
  <c r="DE239" i="1" s="1"/>
  <c r="DA239" i="1"/>
  <c r="CY239" i="1" s="1"/>
  <c r="DV239" i="1"/>
  <c r="DP239" i="1"/>
  <c r="DD239" i="1"/>
  <c r="CX239" i="1"/>
  <c r="DJ239" i="1"/>
  <c r="EQ235" i="1"/>
  <c r="EN235" i="1"/>
  <c r="EH235" i="1"/>
  <c r="ET235" i="1"/>
  <c r="EE235" i="1"/>
  <c r="EB235" i="1"/>
  <c r="EK235" i="1"/>
  <c r="DY235" i="1"/>
  <c r="DM235" i="1"/>
  <c r="DV235" i="1"/>
  <c r="DA235" i="1"/>
  <c r="CY235" i="1" s="1"/>
  <c r="DD235" i="1"/>
  <c r="DS235" i="1"/>
  <c r="DG235" i="1"/>
  <c r="CX235" i="1"/>
  <c r="DJ235" i="1"/>
  <c r="DP235" i="1"/>
  <c r="EN231" i="1"/>
  <c r="EQ231" i="1"/>
  <c r="EK231" i="1"/>
  <c r="ET231" i="1"/>
  <c r="EE231" i="1"/>
  <c r="EH231" i="1"/>
  <c r="EB231" i="1"/>
  <c r="DY231" i="1"/>
  <c r="DS231" i="1"/>
  <c r="DV231" i="1"/>
  <c r="DM231" i="1"/>
  <c r="DG231" i="1"/>
  <c r="DP231" i="1"/>
  <c r="DA231" i="1"/>
  <c r="CY231" i="1" s="1"/>
  <c r="DJ231" i="1"/>
  <c r="CX231" i="1"/>
  <c r="DD231" i="1"/>
  <c r="EQ227" i="1"/>
  <c r="ET227" i="1"/>
  <c r="EN227" i="1"/>
  <c r="EH227" i="1"/>
  <c r="EK227" i="1"/>
  <c r="EE227" i="1"/>
  <c r="DS227" i="1"/>
  <c r="DM227" i="1"/>
  <c r="DP227" i="1"/>
  <c r="EB227" i="1"/>
  <c r="DA227" i="1"/>
  <c r="CY227" i="1" s="1"/>
  <c r="DD227" i="1"/>
  <c r="DV227" i="1"/>
  <c r="DJ227" i="1"/>
  <c r="DG227" i="1"/>
  <c r="CX227" i="1"/>
  <c r="DY227" i="1"/>
  <c r="EK223" i="1"/>
  <c r="ET223" i="1"/>
  <c r="EE223" i="1"/>
  <c r="EQ223" i="1"/>
  <c r="EB223" i="1"/>
  <c r="EN223" i="1"/>
  <c r="DY223" i="1"/>
  <c r="DS223" i="1"/>
  <c r="EH223" i="1"/>
  <c r="DP223" i="1"/>
  <c r="DV223" i="1"/>
  <c r="DM223" i="1"/>
  <c r="DG223" i="1"/>
  <c r="DA223" i="1"/>
  <c r="CY223" i="1" s="1"/>
  <c r="CX223" i="1"/>
  <c r="DJ223" i="1"/>
  <c r="DD223" i="1"/>
  <c r="EQ219" i="1"/>
  <c r="ET219" i="1"/>
  <c r="EK219" i="1"/>
  <c r="EH219" i="1"/>
  <c r="EN219" i="1"/>
  <c r="EE219" i="1"/>
  <c r="EB219" i="1"/>
  <c r="DV219" i="1"/>
  <c r="DM219" i="1"/>
  <c r="DY219" i="1"/>
  <c r="DP219" i="1"/>
  <c r="DS219" i="1"/>
  <c r="DA219" i="1"/>
  <c r="CY219" i="1" s="1"/>
  <c r="DD219" i="1"/>
  <c r="DG219" i="1"/>
  <c r="CX219" i="1"/>
  <c r="DJ219" i="1"/>
  <c r="ET215" i="1"/>
  <c r="EN215" i="1"/>
  <c r="EQ215" i="1"/>
  <c r="EK215" i="1"/>
  <c r="EH215" i="1"/>
  <c r="EE215" i="1"/>
  <c r="EB215" i="1"/>
  <c r="DS215" i="1"/>
  <c r="DY215" i="1"/>
  <c r="DP215" i="1"/>
  <c r="DV215" i="1"/>
  <c r="DM215" i="1"/>
  <c r="DG215" i="1"/>
  <c r="DA215" i="1"/>
  <c r="CY215" i="1" s="1"/>
  <c r="CX215" i="1"/>
  <c r="DJ215" i="1"/>
  <c r="DD215" i="1"/>
  <c r="EQ211" i="1"/>
  <c r="ET211" i="1"/>
  <c r="EN211" i="1"/>
  <c r="EH211" i="1"/>
  <c r="EE211" i="1"/>
  <c r="EK211" i="1"/>
  <c r="DY211" i="1"/>
  <c r="EB211" i="1"/>
  <c r="DM211" i="1"/>
  <c r="DV211" i="1"/>
  <c r="DS211" i="1"/>
  <c r="DP211" i="1"/>
  <c r="DA211" i="1"/>
  <c r="CY211" i="1" s="1"/>
  <c r="DD211" i="1"/>
  <c r="DJ211" i="1"/>
  <c r="DG211" i="1"/>
  <c r="CX211" i="1"/>
  <c r="ET207" i="1"/>
  <c r="EK207" i="1"/>
  <c r="EQ207" i="1"/>
  <c r="EE207" i="1"/>
  <c r="EN207" i="1"/>
  <c r="EH207" i="1"/>
  <c r="EB207" i="1"/>
  <c r="DS207" i="1"/>
  <c r="DY207" i="1"/>
  <c r="DV207" i="1"/>
  <c r="DG207" i="1"/>
  <c r="DE207" i="1" s="1"/>
  <c r="DM207" i="1"/>
  <c r="DP207" i="1"/>
  <c r="DA207" i="1"/>
  <c r="CY207" i="1" s="1"/>
  <c r="DJ207" i="1"/>
  <c r="DD207" i="1"/>
  <c r="CX207" i="1"/>
  <c r="EQ203" i="1"/>
  <c r="ET203" i="1"/>
  <c r="EH203" i="1"/>
  <c r="EN203" i="1"/>
  <c r="EK203" i="1"/>
  <c r="EB203" i="1"/>
  <c r="EE203" i="1"/>
  <c r="DY203" i="1"/>
  <c r="DV203" i="1"/>
  <c r="DM203" i="1"/>
  <c r="DA203" i="1"/>
  <c r="CY203" i="1" s="1"/>
  <c r="DP203" i="1"/>
  <c r="DD203" i="1"/>
  <c r="DS203" i="1"/>
  <c r="DG203" i="1"/>
  <c r="CX203" i="1"/>
  <c r="DJ203" i="1"/>
  <c r="EN199" i="1"/>
  <c r="EQ199" i="1"/>
  <c r="EK199" i="1"/>
  <c r="EE199" i="1"/>
  <c r="ET199" i="1"/>
  <c r="EH199" i="1"/>
  <c r="EB199" i="1"/>
  <c r="DS199" i="1"/>
  <c r="DV199" i="1"/>
  <c r="DY199" i="1"/>
  <c r="DP199" i="1"/>
  <c r="DG199" i="1"/>
  <c r="DA199" i="1"/>
  <c r="CY199" i="1" s="1"/>
  <c r="DJ199" i="1"/>
  <c r="DM199" i="1"/>
  <c r="CX199" i="1"/>
  <c r="DD199" i="1"/>
  <c r="EQ195" i="1"/>
  <c r="ET195" i="1"/>
  <c r="EN195" i="1"/>
  <c r="EK195" i="1"/>
  <c r="EH195" i="1"/>
  <c r="EE195" i="1"/>
  <c r="DY195" i="1"/>
  <c r="DS195" i="1"/>
  <c r="EB195" i="1"/>
  <c r="DP195" i="1"/>
  <c r="DA195" i="1"/>
  <c r="CY195" i="1" s="1"/>
  <c r="DD195" i="1"/>
  <c r="DJ195" i="1"/>
  <c r="DG195" i="1"/>
  <c r="CX195" i="1"/>
  <c r="DV195" i="1"/>
  <c r="ET191" i="1"/>
  <c r="EK191" i="1"/>
  <c r="EN191" i="1"/>
  <c r="EE191" i="1"/>
  <c r="EB191" i="1"/>
  <c r="EQ191" i="1"/>
  <c r="EH191" i="1"/>
  <c r="DY191" i="1"/>
  <c r="DS191" i="1"/>
  <c r="DM191" i="1"/>
  <c r="DV191" i="1"/>
  <c r="DP191" i="1"/>
  <c r="DG191" i="1"/>
  <c r="DA191" i="1"/>
  <c r="CY191" i="1" s="1"/>
  <c r="DD191" i="1"/>
  <c r="DJ191" i="1"/>
  <c r="CX191" i="1"/>
  <c r="EQ187" i="1"/>
  <c r="EN187" i="1"/>
  <c r="ET187" i="1"/>
  <c r="EH187" i="1"/>
  <c r="EK187" i="1"/>
  <c r="EE187" i="1"/>
  <c r="DY187" i="1"/>
  <c r="EB187" i="1"/>
  <c r="DV187" i="1"/>
  <c r="DP187" i="1"/>
  <c r="DM187" i="1"/>
  <c r="DS187" i="1"/>
  <c r="DA187" i="1"/>
  <c r="CY187" i="1" s="1"/>
  <c r="DD187" i="1"/>
  <c r="DG187" i="1"/>
  <c r="CX187" i="1"/>
  <c r="DJ187" i="1"/>
  <c r="ET183" i="1"/>
  <c r="EN183" i="1"/>
  <c r="EQ183" i="1"/>
  <c r="EK183" i="1"/>
  <c r="EH183" i="1"/>
  <c r="EE183" i="1"/>
  <c r="EB183" i="1"/>
  <c r="DS183" i="1"/>
  <c r="DM183" i="1"/>
  <c r="DV183" i="1"/>
  <c r="DP183" i="1"/>
  <c r="DG183" i="1"/>
  <c r="DY183" i="1"/>
  <c r="DA183" i="1"/>
  <c r="CY183" i="1" s="1"/>
  <c r="DD183" i="1"/>
  <c r="CX183" i="1"/>
  <c r="DJ183" i="1"/>
  <c r="EQ179" i="1"/>
  <c r="ET179" i="1"/>
  <c r="EN179" i="1"/>
  <c r="EK179" i="1"/>
  <c r="EE179" i="1"/>
  <c r="EH179" i="1"/>
  <c r="EB179" i="1"/>
  <c r="DP179" i="1"/>
  <c r="DV179" i="1"/>
  <c r="DY179" i="1"/>
  <c r="DS179" i="1"/>
  <c r="DM179" i="1"/>
  <c r="DA179" i="1"/>
  <c r="CY179" i="1" s="1"/>
  <c r="DD179" i="1"/>
  <c r="DJ179" i="1"/>
  <c r="DG179" i="1"/>
  <c r="CX179" i="1"/>
  <c r="ET175" i="1"/>
  <c r="EK175" i="1"/>
  <c r="EE175" i="1"/>
  <c r="EH175" i="1"/>
  <c r="EQ175" i="1"/>
  <c r="EB175" i="1"/>
  <c r="EN175" i="1"/>
  <c r="DY175" i="1"/>
  <c r="DS175" i="1"/>
  <c r="DV175" i="1"/>
  <c r="DG175" i="1"/>
  <c r="DP175" i="1"/>
  <c r="DM175" i="1"/>
  <c r="DA175" i="1"/>
  <c r="CY175" i="1" s="1"/>
  <c r="DJ175" i="1"/>
  <c r="DD175" i="1"/>
  <c r="CX175" i="1"/>
  <c r="ET171" i="1"/>
  <c r="EQ171" i="1"/>
  <c r="EN171" i="1"/>
  <c r="EH171" i="1"/>
  <c r="EK171" i="1"/>
  <c r="EE171" i="1"/>
  <c r="DY171" i="1"/>
  <c r="EB171" i="1"/>
  <c r="DP171" i="1"/>
  <c r="DA171" i="1"/>
  <c r="CY171" i="1" s="1"/>
  <c r="DV171" i="1"/>
  <c r="DM171" i="1"/>
  <c r="DK171" i="1" s="1"/>
  <c r="DD171" i="1"/>
  <c r="DS171" i="1"/>
  <c r="DG171" i="1"/>
  <c r="CX171" i="1"/>
  <c r="DJ171" i="1"/>
  <c r="EN167" i="1"/>
  <c r="ET167" i="1"/>
  <c r="EQ167" i="1"/>
  <c r="EK167" i="1"/>
  <c r="EE167" i="1"/>
  <c r="EH167" i="1"/>
  <c r="EB167" i="1"/>
  <c r="DS167" i="1"/>
  <c r="DY167" i="1"/>
  <c r="DV167" i="1"/>
  <c r="DP167" i="1"/>
  <c r="DG167" i="1"/>
  <c r="DA167" i="1"/>
  <c r="CY167" i="1" s="1"/>
  <c r="DJ167" i="1"/>
  <c r="DM167" i="1"/>
  <c r="CX167" i="1"/>
  <c r="DD167" i="1"/>
  <c r="EQ163" i="1"/>
  <c r="EN163" i="1"/>
  <c r="ET163" i="1"/>
  <c r="EH163" i="1"/>
  <c r="EK163" i="1"/>
  <c r="EE163" i="1"/>
  <c r="DY163" i="1"/>
  <c r="DS163" i="1"/>
  <c r="DV163" i="1"/>
  <c r="DP163" i="1"/>
  <c r="EB163" i="1"/>
  <c r="DA163" i="1"/>
  <c r="CY163" i="1" s="1"/>
  <c r="DD163" i="1"/>
  <c r="DJ163" i="1"/>
  <c r="DG163" i="1"/>
  <c r="CX163" i="1"/>
  <c r="DM163" i="1"/>
  <c r="ET159" i="1"/>
  <c r="EK159" i="1"/>
  <c r="EB159" i="1"/>
  <c r="EE159" i="1"/>
  <c r="EQ159" i="1"/>
  <c r="EN159" i="1"/>
  <c r="EH159" i="1"/>
  <c r="DY159" i="1"/>
  <c r="DS159" i="1"/>
  <c r="DP159" i="1"/>
  <c r="DM159" i="1"/>
  <c r="DV159" i="1"/>
  <c r="DG159" i="1"/>
  <c r="DA159" i="1"/>
  <c r="CY159" i="1" s="1"/>
  <c r="DJ159" i="1"/>
  <c r="CX159" i="1"/>
  <c r="DD159" i="1"/>
  <c r="EQ155" i="1"/>
  <c r="ET155" i="1"/>
  <c r="EN155" i="1"/>
  <c r="EK155" i="1"/>
  <c r="EH155" i="1"/>
  <c r="EB155" i="1"/>
  <c r="EE155" i="1"/>
  <c r="DY155" i="1"/>
  <c r="DM155" i="1"/>
  <c r="DS155" i="1"/>
  <c r="DV155" i="1"/>
  <c r="DP155" i="1"/>
  <c r="DA155" i="1"/>
  <c r="CY155" i="1" s="1"/>
  <c r="DD155" i="1"/>
  <c r="DG155" i="1"/>
  <c r="CX155" i="1"/>
  <c r="DJ155" i="1"/>
  <c r="ET151" i="1"/>
  <c r="EN151" i="1"/>
  <c r="EQ151" i="1"/>
  <c r="EK151" i="1"/>
  <c r="EB151" i="1"/>
  <c r="EH151" i="1"/>
  <c r="EE151" i="1"/>
  <c r="DS151" i="1"/>
  <c r="DV151" i="1"/>
  <c r="DP151" i="1"/>
  <c r="DM151" i="1"/>
  <c r="DY151" i="1"/>
  <c r="DG151" i="1"/>
  <c r="DA151" i="1"/>
  <c r="CY151" i="1" s="1"/>
  <c r="DJ151" i="1"/>
  <c r="CX151" i="1"/>
  <c r="DD151" i="1"/>
  <c r="ET147" i="1"/>
  <c r="EQ147" i="1"/>
  <c r="EN147" i="1"/>
  <c r="EB147" i="1"/>
  <c r="EE147" i="1"/>
  <c r="EH147" i="1"/>
  <c r="EK147" i="1"/>
  <c r="DM147" i="1"/>
  <c r="DY147" i="1"/>
  <c r="DS147" i="1"/>
  <c r="DP147" i="1"/>
  <c r="DA147" i="1"/>
  <c r="CY147" i="1" s="1"/>
  <c r="DD147" i="1"/>
  <c r="DJ147" i="1"/>
  <c r="DG147" i="1"/>
  <c r="CX147" i="1"/>
  <c r="DV147" i="1"/>
  <c r="EQ143" i="1"/>
  <c r="EK143" i="1"/>
  <c r="EB143" i="1"/>
  <c r="ET143" i="1"/>
  <c r="EN143" i="1"/>
  <c r="EE143" i="1"/>
  <c r="EH143" i="1"/>
  <c r="DY143" i="1"/>
  <c r="DS143" i="1"/>
  <c r="DV143" i="1"/>
  <c r="DP143" i="1"/>
  <c r="DG143" i="1"/>
  <c r="DE143" i="1" s="1"/>
  <c r="DA143" i="1"/>
  <c r="CY143" i="1" s="1"/>
  <c r="DD143" i="1"/>
  <c r="DM143" i="1"/>
  <c r="DJ143" i="1"/>
  <c r="CX143" i="1"/>
  <c r="ET139" i="1"/>
  <c r="EN139" i="1"/>
  <c r="EQ139" i="1"/>
  <c r="EH139" i="1"/>
  <c r="EK139" i="1"/>
  <c r="EB139" i="1"/>
  <c r="DY139" i="1"/>
  <c r="EE139" i="1"/>
  <c r="DV139" i="1"/>
  <c r="DA139" i="1"/>
  <c r="CY139" i="1" s="1"/>
  <c r="DD139" i="1"/>
  <c r="DM139" i="1"/>
  <c r="DK139" i="1" s="1"/>
  <c r="DG139" i="1"/>
  <c r="DS139" i="1"/>
  <c r="CX139" i="1"/>
  <c r="DJ139" i="1"/>
  <c r="DP139" i="1"/>
  <c r="EN135" i="1"/>
  <c r="EK135" i="1"/>
  <c r="EQ135" i="1"/>
  <c r="ET135" i="1"/>
  <c r="EB135" i="1"/>
  <c r="EE135" i="1"/>
  <c r="EH135" i="1"/>
  <c r="DS135" i="1"/>
  <c r="DY135" i="1"/>
  <c r="DP135" i="1"/>
  <c r="DG135" i="1"/>
  <c r="DM135" i="1"/>
  <c r="DV135" i="1"/>
  <c r="DA135" i="1"/>
  <c r="CY135" i="1" s="1"/>
  <c r="DJ135" i="1"/>
  <c r="CX135" i="1"/>
  <c r="DD135" i="1"/>
  <c r="ET131" i="1"/>
  <c r="EQ131" i="1"/>
  <c r="EN131" i="1"/>
  <c r="EK131" i="1"/>
  <c r="EH131" i="1"/>
  <c r="EB131" i="1"/>
  <c r="EE131" i="1"/>
  <c r="DY131" i="1"/>
  <c r="DS131" i="1"/>
  <c r="DV131" i="1"/>
  <c r="DA131" i="1"/>
  <c r="CY131" i="1" s="1"/>
  <c r="DD131" i="1"/>
  <c r="DP131" i="1"/>
  <c r="DJ131" i="1"/>
  <c r="DG131" i="1"/>
  <c r="CX131" i="1"/>
  <c r="DM131" i="1"/>
  <c r="ET127" i="1"/>
  <c r="EQ127" i="1"/>
  <c r="EK127" i="1"/>
  <c r="EN127" i="1"/>
  <c r="EB127" i="1"/>
  <c r="EE127" i="1"/>
  <c r="EH127" i="1"/>
  <c r="DY127" i="1"/>
  <c r="DS127" i="1"/>
  <c r="DM127" i="1"/>
  <c r="DV127" i="1"/>
  <c r="DP127" i="1"/>
  <c r="DG127" i="1"/>
  <c r="DA127" i="1"/>
  <c r="CY127" i="1" s="1"/>
  <c r="DD127" i="1"/>
  <c r="DJ127" i="1"/>
  <c r="CX127" i="1"/>
  <c r="ET123" i="1"/>
  <c r="EN123" i="1"/>
  <c r="EH123" i="1"/>
  <c r="EB123" i="1"/>
  <c r="EK123" i="1"/>
  <c r="EE123" i="1"/>
  <c r="EQ123" i="1"/>
  <c r="DY123" i="1"/>
  <c r="DV123" i="1"/>
  <c r="DP123" i="1"/>
  <c r="DS123" i="1"/>
  <c r="DM123" i="1"/>
  <c r="DA123" i="1"/>
  <c r="CY123" i="1" s="1"/>
  <c r="DD123" i="1"/>
  <c r="DG123" i="1"/>
  <c r="CX123" i="1"/>
  <c r="DJ123" i="1"/>
  <c r="EQ119" i="1"/>
  <c r="ET119" i="1"/>
  <c r="EN119" i="1"/>
  <c r="EK119" i="1"/>
  <c r="EB119" i="1"/>
  <c r="EH119" i="1"/>
  <c r="EE119" i="1"/>
  <c r="DS119" i="1"/>
  <c r="DM119" i="1"/>
  <c r="DV119" i="1"/>
  <c r="DP119" i="1"/>
  <c r="DG119" i="1"/>
  <c r="DA119" i="1"/>
  <c r="CY119" i="1" s="1"/>
  <c r="DY119" i="1"/>
  <c r="DD119" i="1"/>
  <c r="CX119" i="1"/>
  <c r="DJ119" i="1"/>
  <c r="ET115" i="1"/>
  <c r="EN115" i="1"/>
  <c r="EQ115" i="1"/>
  <c r="EK115" i="1"/>
  <c r="EB115" i="1"/>
  <c r="EE115" i="1"/>
  <c r="EH115" i="1"/>
  <c r="DP115" i="1"/>
  <c r="DV115" i="1"/>
  <c r="DY115" i="1"/>
  <c r="DS115" i="1"/>
  <c r="DM115" i="1"/>
  <c r="DA115" i="1"/>
  <c r="CY115" i="1" s="1"/>
  <c r="DD115" i="1"/>
  <c r="DJ115" i="1"/>
  <c r="DG115" i="1"/>
  <c r="CX115" i="1"/>
  <c r="ET111" i="1"/>
  <c r="EQ111" i="1"/>
  <c r="EK111" i="1"/>
  <c r="EB111" i="1"/>
  <c r="EE111" i="1"/>
  <c r="EH111" i="1"/>
  <c r="EN111" i="1"/>
  <c r="DY111" i="1"/>
  <c r="DS111" i="1"/>
  <c r="DV111" i="1"/>
  <c r="DM111" i="1"/>
  <c r="DG111" i="1"/>
  <c r="DE111" i="1" s="1"/>
  <c r="DP111" i="1"/>
  <c r="DA111" i="1"/>
  <c r="CY111" i="1" s="1"/>
  <c r="DD111" i="1"/>
  <c r="DJ111" i="1"/>
  <c r="CX111" i="1"/>
  <c r="ET107" i="1"/>
  <c r="EQ107" i="1"/>
  <c r="EN107" i="1"/>
  <c r="EH107" i="1"/>
  <c r="EB107" i="1"/>
  <c r="EE107" i="1"/>
  <c r="DY107" i="1"/>
  <c r="EK107" i="1"/>
  <c r="DV107" i="1"/>
  <c r="DS107" i="1"/>
  <c r="DA107" i="1"/>
  <c r="CY107" i="1" s="1"/>
  <c r="DD107" i="1"/>
  <c r="DP107" i="1"/>
  <c r="DG107" i="1"/>
  <c r="CX107" i="1"/>
  <c r="DJ107" i="1"/>
  <c r="DM107" i="1"/>
  <c r="DK107" i="1" s="1"/>
  <c r="EQ103" i="1"/>
  <c r="EH103" i="1"/>
  <c r="ET103" i="1"/>
  <c r="EN103" i="1"/>
  <c r="EK103" i="1"/>
  <c r="EB103" i="1"/>
  <c r="EE103" i="1"/>
  <c r="DS103" i="1"/>
  <c r="DY103" i="1"/>
  <c r="DV103" i="1"/>
  <c r="DG103" i="1"/>
  <c r="DP103" i="1"/>
  <c r="DA103" i="1"/>
  <c r="CY103" i="1" s="1"/>
  <c r="DM103" i="1"/>
  <c r="DJ103" i="1"/>
  <c r="CX103" i="1"/>
  <c r="DD103" i="1"/>
  <c r="ET99" i="1"/>
  <c r="EN99" i="1"/>
  <c r="EQ99" i="1"/>
  <c r="EK99" i="1"/>
  <c r="EH99" i="1"/>
  <c r="EB99" i="1"/>
  <c r="EE99" i="1"/>
  <c r="DY99" i="1"/>
  <c r="DS99" i="1"/>
  <c r="DV99" i="1"/>
  <c r="DP99" i="1"/>
  <c r="DA99" i="1"/>
  <c r="CY99" i="1" s="1"/>
  <c r="DD99" i="1"/>
  <c r="DM99" i="1"/>
  <c r="DJ99" i="1"/>
  <c r="DG99" i="1"/>
  <c r="CX99" i="1"/>
  <c r="EQ95" i="1"/>
  <c r="ET95" i="1"/>
  <c r="EH95" i="1"/>
  <c r="EK95" i="1"/>
  <c r="EB95" i="1"/>
  <c r="EE95" i="1"/>
  <c r="EN95" i="1"/>
  <c r="DY95" i="1"/>
  <c r="DS95" i="1"/>
  <c r="DP95" i="1"/>
  <c r="DM95" i="1"/>
  <c r="DG95" i="1"/>
  <c r="DA95" i="1"/>
  <c r="CY95" i="1" s="1"/>
  <c r="CX95" i="1"/>
  <c r="DV95" i="1"/>
  <c r="DJ95" i="1"/>
  <c r="ET91" i="1"/>
  <c r="EQ91" i="1"/>
  <c r="EN91" i="1"/>
  <c r="EH91" i="1"/>
  <c r="EK91" i="1"/>
  <c r="EB91" i="1"/>
  <c r="EE91" i="1"/>
  <c r="DY91" i="1"/>
  <c r="DM91" i="1"/>
  <c r="DS91" i="1"/>
  <c r="DV91" i="1"/>
  <c r="DP91" i="1"/>
  <c r="DA91" i="1"/>
  <c r="CY91" i="1" s="1"/>
  <c r="DD91" i="1"/>
  <c r="DG91" i="1"/>
  <c r="CX91" i="1"/>
  <c r="DJ91" i="1"/>
  <c r="EQ87" i="1"/>
  <c r="ET87" i="1"/>
  <c r="EH87" i="1"/>
  <c r="EN87" i="1"/>
  <c r="EK87" i="1"/>
  <c r="EB87" i="1"/>
  <c r="EE87" i="1"/>
  <c r="DS87" i="1"/>
  <c r="DV87" i="1"/>
  <c r="DP87" i="1"/>
  <c r="DG87" i="1"/>
  <c r="DM87" i="1"/>
  <c r="DY87" i="1"/>
  <c r="DA87" i="1"/>
  <c r="CY87" i="1" s="1"/>
  <c r="CX87" i="1"/>
  <c r="DJ87" i="1"/>
  <c r="DD87" i="1"/>
  <c r="ET83" i="1"/>
  <c r="EQ83" i="1"/>
  <c r="EN83" i="1"/>
  <c r="EH83" i="1"/>
  <c r="EB83" i="1"/>
  <c r="EK83" i="1"/>
  <c r="EE83" i="1"/>
  <c r="DV83" i="1"/>
  <c r="DM83" i="1"/>
  <c r="DY83" i="1"/>
  <c r="DS83" i="1"/>
  <c r="DP83" i="1"/>
  <c r="DA83" i="1"/>
  <c r="CY83" i="1" s="1"/>
  <c r="DD83" i="1"/>
  <c r="DJ83" i="1"/>
  <c r="DG83" i="1"/>
  <c r="CX83" i="1"/>
  <c r="EQ79" i="1"/>
  <c r="EH79" i="1"/>
  <c r="EK79" i="1"/>
  <c r="EB79" i="1"/>
  <c r="EN79" i="1"/>
  <c r="EE79" i="1"/>
  <c r="ET79" i="1"/>
  <c r="DY79" i="1"/>
  <c r="DS79" i="1"/>
  <c r="DG79" i="1"/>
  <c r="DE79" i="1" s="1"/>
  <c r="DV79" i="1"/>
  <c r="DP79" i="1"/>
  <c r="DM79" i="1"/>
  <c r="DA79" i="1"/>
  <c r="CY79" i="1" s="1"/>
  <c r="CX79" i="1"/>
  <c r="DJ79" i="1"/>
  <c r="DD79" i="1"/>
  <c r="ET75" i="1"/>
  <c r="EN75" i="1"/>
  <c r="EH75" i="1"/>
  <c r="EQ75" i="1"/>
  <c r="EK75" i="1"/>
  <c r="EB75" i="1"/>
  <c r="DY75" i="1"/>
  <c r="DV75" i="1"/>
  <c r="EE75" i="1"/>
  <c r="DP75" i="1"/>
  <c r="DA75" i="1"/>
  <c r="CY75" i="1" s="1"/>
  <c r="DS75" i="1"/>
  <c r="DD75" i="1"/>
  <c r="DJ75" i="1"/>
  <c r="DM75" i="1"/>
  <c r="DG75" i="1"/>
  <c r="CX75" i="1"/>
  <c r="EQ71" i="1"/>
  <c r="EH71" i="1"/>
  <c r="EN71" i="1"/>
  <c r="EK71" i="1"/>
  <c r="ET71" i="1"/>
  <c r="EB71" i="1"/>
  <c r="EE71" i="1"/>
  <c r="DS71" i="1"/>
  <c r="DV71" i="1"/>
  <c r="DG71" i="1"/>
  <c r="DY71" i="1"/>
  <c r="DP71" i="1"/>
  <c r="DM71" i="1"/>
  <c r="DA71" i="1"/>
  <c r="CY71" i="1" s="1"/>
  <c r="DJ71" i="1"/>
  <c r="DD71" i="1"/>
  <c r="CX71" i="1"/>
  <c r="EQ67" i="1"/>
  <c r="ET67" i="1"/>
  <c r="EN67" i="1"/>
  <c r="EK67" i="1"/>
  <c r="EH67" i="1"/>
  <c r="EB67" i="1"/>
  <c r="EE67" i="1"/>
  <c r="DV67" i="1"/>
  <c r="DY67" i="1"/>
  <c r="DS67" i="1"/>
  <c r="DM67" i="1"/>
  <c r="DA67" i="1"/>
  <c r="CY67" i="1" s="1"/>
  <c r="DD67" i="1"/>
  <c r="DJ67" i="1"/>
  <c r="DG67" i="1"/>
  <c r="CX67" i="1"/>
  <c r="DP67" i="1"/>
  <c r="EQ63" i="1"/>
  <c r="ET63" i="1"/>
  <c r="EH63" i="1"/>
  <c r="EK63" i="1"/>
  <c r="EN63" i="1"/>
  <c r="EB63" i="1"/>
  <c r="EE63" i="1"/>
  <c r="DY63" i="1"/>
  <c r="DS63" i="1"/>
  <c r="DM63" i="1"/>
  <c r="DG63" i="1"/>
  <c r="DP63" i="1"/>
  <c r="DV63" i="1"/>
  <c r="DA63" i="1"/>
  <c r="CY63" i="1" s="1"/>
  <c r="DD63" i="1"/>
  <c r="CX63" i="1"/>
  <c r="DJ63" i="1"/>
  <c r="EQ59" i="1"/>
  <c r="ET59" i="1"/>
  <c r="EN59" i="1"/>
  <c r="EH59" i="1"/>
  <c r="EB59" i="1"/>
  <c r="EK59" i="1"/>
  <c r="EE59" i="1"/>
  <c r="DY59" i="1"/>
  <c r="DV59" i="1"/>
  <c r="DP59" i="1"/>
  <c r="DS59" i="1"/>
  <c r="DM59" i="1"/>
  <c r="DA59" i="1"/>
  <c r="CY59" i="1" s="1"/>
  <c r="DD59" i="1"/>
  <c r="DJ59" i="1"/>
  <c r="CX59" i="1"/>
  <c r="DG59" i="1"/>
  <c r="EQ55" i="1"/>
  <c r="ET55" i="1"/>
  <c r="EH55" i="1"/>
  <c r="EN55" i="1"/>
  <c r="EK55" i="1"/>
  <c r="EB55" i="1"/>
  <c r="EE55" i="1"/>
  <c r="DS55" i="1"/>
  <c r="DV55" i="1"/>
  <c r="DM55" i="1"/>
  <c r="DG55" i="1"/>
  <c r="DP55" i="1"/>
  <c r="DY55" i="1"/>
  <c r="DA55" i="1"/>
  <c r="CY55" i="1" s="1"/>
  <c r="CX55" i="1"/>
  <c r="DD55" i="1"/>
  <c r="DJ55" i="1"/>
  <c r="EQ51" i="1"/>
  <c r="ET51" i="1"/>
  <c r="EN51" i="1"/>
  <c r="EK51" i="1"/>
  <c r="EB51" i="1"/>
  <c r="EE51" i="1"/>
  <c r="EH51" i="1"/>
  <c r="DV51" i="1"/>
  <c r="DP51" i="1"/>
  <c r="DY51" i="1"/>
  <c r="DS51" i="1"/>
  <c r="DM51" i="1"/>
  <c r="DA51" i="1"/>
  <c r="CY51" i="1" s="1"/>
  <c r="DD51" i="1"/>
  <c r="DJ51" i="1"/>
  <c r="DG51" i="1"/>
  <c r="EQ47" i="1"/>
  <c r="ET47" i="1"/>
  <c r="EH47" i="1"/>
  <c r="EK47" i="1"/>
  <c r="EB47" i="1"/>
  <c r="EE47" i="1"/>
  <c r="EN47" i="1"/>
  <c r="DY47" i="1"/>
  <c r="DS47" i="1"/>
  <c r="DG47" i="1"/>
  <c r="DV47" i="1"/>
  <c r="DP47" i="1"/>
  <c r="DM47" i="1"/>
  <c r="DA47" i="1"/>
  <c r="CY47" i="1" s="1"/>
  <c r="CX47" i="1"/>
  <c r="DJ47" i="1"/>
  <c r="DD47" i="1"/>
  <c r="ET43" i="1"/>
  <c r="EN43" i="1"/>
  <c r="EQ43" i="1"/>
  <c r="EH43" i="1"/>
  <c r="EB43" i="1"/>
  <c r="EE43" i="1"/>
  <c r="DY43" i="1"/>
  <c r="EK43" i="1"/>
  <c r="DV43" i="1"/>
  <c r="DA43" i="1"/>
  <c r="CY43" i="1" s="1"/>
  <c r="DD43" i="1"/>
  <c r="DS43" i="1"/>
  <c r="DG43" i="1"/>
  <c r="DP43" i="1"/>
  <c r="DJ43" i="1"/>
  <c r="CX43" i="1"/>
  <c r="DM43" i="1"/>
  <c r="DK43" i="1" s="1"/>
  <c r="EQ39" i="1"/>
  <c r="ET39" i="1"/>
  <c r="EH39" i="1"/>
  <c r="EN39" i="1"/>
  <c r="EK39" i="1"/>
  <c r="EB39" i="1"/>
  <c r="EE39" i="1"/>
  <c r="DS39" i="1"/>
  <c r="DG39" i="1"/>
  <c r="DV39" i="1"/>
  <c r="DY39" i="1"/>
  <c r="DM39" i="1"/>
  <c r="DA39" i="1"/>
  <c r="CY39" i="1" s="1"/>
  <c r="DJ39" i="1"/>
  <c r="CX39" i="1"/>
  <c r="DP39" i="1"/>
  <c r="DD39" i="1"/>
  <c r="EQ35" i="1"/>
  <c r="ET35" i="1"/>
  <c r="EN35" i="1"/>
  <c r="EH35" i="1"/>
  <c r="EK35" i="1"/>
  <c r="EB35" i="1"/>
  <c r="EE35" i="1"/>
  <c r="DV35" i="1"/>
  <c r="DY35" i="1"/>
  <c r="DS35" i="1"/>
  <c r="DP35" i="1"/>
  <c r="DA35" i="1"/>
  <c r="CY35" i="1" s="1"/>
  <c r="DD35" i="1"/>
  <c r="DJ35" i="1"/>
  <c r="DM35" i="1"/>
  <c r="DG35" i="1"/>
  <c r="CX35" i="1"/>
  <c r="EQ31" i="1"/>
  <c r="ET31" i="1"/>
  <c r="EH31" i="1"/>
  <c r="EK31" i="1"/>
  <c r="EB31" i="1"/>
  <c r="EE31" i="1"/>
  <c r="EN31" i="1"/>
  <c r="DY31" i="1"/>
  <c r="DS31" i="1"/>
  <c r="DP31" i="1"/>
  <c r="DG31" i="1"/>
  <c r="DM31" i="1"/>
  <c r="DA31" i="1"/>
  <c r="CY31" i="1" s="1"/>
  <c r="DV31" i="1"/>
  <c r="DJ31" i="1"/>
  <c r="CX31" i="1"/>
  <c r="DD31" i="1"/>
  <c r="EQ27" i="1"/>
  <c r="EN27" i="1"/>
  <c r="EK27" i="1"/>
  <c r="EB27" i="1"/>
  <c r="ET27" i="1"/>
  <c r="EH27" i="1"/>
  <c r="EE27" i="1"/>
  <c r="DY27" i="1"/>
  <c r="DV27" i="1"/>
  <c r="DM27" i="1"/>
  <c r="DS27" i="1"/>
  <c r="DP27" i="1"/>
  <c r="DA27" i="1"/>
  <c r="CY27" i="1" s="1"/>
  <c r="DD27" i="1"/>
  <c r="DG27" i="1"/>
  <c r="CX27" i="1"/>
  <c r="DJ27" i="1"/>
  <c r="EQ23" i="1"/>
  <c r="ET23" i="1"/>
  <c r="EH23" i="1"/>
  <c r="EN23" i="1"/>
  <c r="EK23" i="1"/>
  <c r="EB23" i="1"/>
  <c r="EE23" i="1"/>
  <c r="DV23" i="1"/>
  <c r="DS23" i="1"/>
  <c r="DP23" i="1"/>
  <c r="DG23" i="1"/>
  <c r="DM23" i="1"/>
  <c r="DY23" i="1"/>
  <c r="DA23" i="1"/>
  <c r="CY23" i="1" s="1"/>
  <c r="CX23" i="1"/>
  <c r="DJ23" i="1"/>
  <c r="DD23" i="1"/>
  <c r="ET19" i="1"/>
  <c r="EQ19" i="1"/>
  <c r="EN19" i="1"/>
  <c r="EH19" i="1"/>
  <c r="EB19" i="1"/>
  <c r="EE19" i="1"/>
  <c r="EK19" i="1"/>
  <c r="DV19" i="1"/>
  <c r="DM19" i="1"/>
  <c r="DY19" i="1"/>
  <c r="DS19" i="1"/>
  <c r="DP19" i="1"/>
  <c r="DA19" i="1"/>
  <c r="CY19" i="1" s="1"/>
  <c r="DD19" i="1"/>
  <c r="DJ19" i="1"/>
  <c r="DG19" i="1"/>
  <c r="CX19" i="1"/>
  <c r="EQ15" i="1"/>
  <c r="EH15" i="1"/>
  <c r="EK15" i="1"/>
  <c r="ET15" i="1"/>
  <c r="EB15" i="1"/>
  <c r="EN15" i="1"/>
  <c r="EE15" i="1"/>
  <c r="DV15" i="1"/>
  <c r="DY15" i="1"/>
  <c r="DS15" i="1"/>
  <c r="DG15" i="1"/>
  <c r="DE15" i="1" s="1"/>
  <c r="CX15" i="1"/>
  <c r="DA15" i="1"/>
  <c r="CY15" i="1" s="1"/>
  <c r="DM15" i="1"/>
  <c r="DP15" i="1"/>
  <c r="DD15" i="1"/>
  <c r="DJ15" i="1"/>
  <c r="ET11" i="1"/>
  <c r="EN11" i="1"/>
  <c r="EK11" i="1"/>
  <c r="EB11" i="1"/>
  <c r="EQ11" i="1"/>
  <c r="DY11" i="1"/>
  <c r="EE11" i="1"/>
  <c r="EH11" i="1"/>
  <c r="DV11" i="1"/>
  <c r="DG11" i="1"/>
  <c r="DA11" i="1"/>
  <c r="CY11" i="1" s="1"/>
  <c r="DD11" i="1"/>
  <c r="DP11" i="1"/>
  <c r="DM11" i="1"/>
  <c r="DK11" i="1" s="1"/>
  <c r="DJ11" i="1"/>
  <c r="DS11" i="1"/>
  <c r="CX11" i="1"/>
  <c r="EQ7" i="1"/>
  <c r="EK7" i="1"/>
  <c r="EH7" i="1"/>
  <c r="EN7" i="1"/>
  <c r="ET7" i="1"/>
  <c r="EB7" i="1"/>
  <c r="EE7" i="1"/>
  <c r="DV7" i="1"/>
  <c r="DS7" i="1"/>
  <c r="DG7" i="1"/>
  <c r="DY7" i="1"/>
  <c r="DP7" i="1"/>
  <c r="CX7" i="1"/>
  <c r="DM7" i="1"/>
  <c r="DA7" i="1"/>
  <c r="CY7" i="1" s="1"/>
  <c r="DJ7" i="1"/>
  <c r="DD7" i="1"/>
  <c r="CW272" i="1"/>
  <c r="CW264" i="1"/>
  <c r="CW256" i="1"/>
  <c r="CW248" i="1"/>
  <c r="CW240" i="1"/>
  <c r="CW232" i="1"/>
  <c r="CW224" i="1"/>
  <c r="CW216" i="1"/>
  <c r="CW208" i="1"/>
  <c r="CW200" i="1"/>
  <c r="CW192" i="1"/>
  <c r="CW184" i="1"/>
  <c r="CW168" i="1"/>
  <c r="CW160" i="1"/>
  <c r="CW152" i="1"/>
  <c r="CV152" i="1" s="1"/>
  <c r="CW144" i="1"/>
  <c r="CW136" i="1"/>
  <c r="CW128" i="1"/>
  <c r="CW120" i="1"/>
  <c r="CV120" i="1" s="1"/>
  <c r="CW112" i="1"/>
  <c r="CW104" i="1"/>
  <c r="CW80" i="1"/>
  <c r="CW72" i="1"/>
  <c r="CW56" i="1"/>
  <c r="CW40" i="1"/>
  <c r="CW32" i="1"/>
  <c r="CW24" i="1"/>
  <c r="CW16" i="1"/>
  <c r="CW8" i="1"/>
  <c r="DC250" i="1"/>
  <c r="DC154" i="1"/>
  <c r="DC122" i="1"/>
  <c r="DF232" i="1"/>
  <c r="DF136" i="1"/>
  <c r="DF104" i="1"/>
  <c r="DF40" i="1"/>
  <c r="DF8" i="1"/>
  <c r="DI246" i="1"/>
  <c r="DI214" i="1"/>
  <c r="DI182" i="1"/>
  <c r="DI150" i="1"/>
  <c r="DI118" i="1"/>
  <c r="DI86" i="1"/>
  <c r="DI54" i="1"/>
  <c r="DI22" i="1"/>
  <c r="DL196" i="1"/>
  <c r="DL164" i="1"/>
  <c r="DL132" i="1"/>
  <c r="DL68" i="1"/>
  <c r="DL36" i="1"/>
  <c r="DO242" i="1"/>
  <c r="DO210" i="1"/>
  <c r="DO178" i="1"/>
  <c r="DO146" i="1"/>
  <c r="DO114" i="1"/>
  <c r="DO82" i="1"/>
  <c r="DO50" i="1"/>
  <c r="DO18" i="1"/>
  <c r="DR252" i="1"/>
  <c r="DR208" i="1"/>
  <c r="DR166" i="1"/>
  <c r="DR80" i="1"/>
  <c r="DR38" i="1"/>
  <c r="DU266" i="1"/>
  <c r="DU222" i="1"/>
  <c r="DU180" i="1"/>
  <c r="DU138" i="1"/>
  <c r="DU94" i="1"/>
  <c r="DU10" i="1"/>
  <c r="EA250" i="1"/>
  <c r="EA166" i="1"/>
  <c r="EA122" i="1"/>
  <c r="EA38" i="1"/>
  <c r="ED245" i="1"/>
  <c r="ED181" i="1"/>
  <c r="ED61" i="1"/>
  <c r="EJ217" i="1"/>
  <c r="EJ89" i="1"/>
  <c r="EM189" i="1"/>
  <c r="EP206" i="1"/>
  <c r="ES136" i="1"/>
  <c r="CX51" i="1"/>
  <c r="ET256" i="1"/>
  <c r="EN256" i="1"/>
  <c r="EQ256" i="1"/>
  <c r="EK256" i="1"/>
  <c r="EH256" i="1"/>
  <c r="EE256" i="1"/>
  <c r="DY256" i="1"/>
  <c r="EB256" i="1"/>
  <c r="DP256" i="1"/>
  <c r="DS256" i="1"/>
  <c r="DV256" i="1"/>
  <c r="DJ256" i="1"/>
  <c r="DM256" i="1"/>
  <c r="DA256" i="1"/>
  <c r="CY256" i="1" s="1"/>
  <c r="DD256" i="1"/>
  <c r="DG256" i="1"/>
  <c r="CX256" i="1"/>
  <c r="ET236" i="1"/>
  <c r="EN236" i="1"/>
  <c r="EQ236" i="1"/>
  <c r="EK236" i="1"/>
  <c r="EH236" i="1"/>
  <c r="EE236" i="1"/>
  <c r="EB236" i="1"/>
  <c r="DV236" i="1"/>
  <c r="DJ236" i="1"/>
  <c r="DY236" i="1"/>
  <c r="DP236" i="1"/>
  <c r="DM236" i="1"/>
  <c r="DD236" i="1"/>
  <c r="CX236" i="1"/>
  <c r="DS236" i="1"/>
  <c r="DA236" i="1"/>
  <c r="CY236" i="1" s="1"/>
  <c r="DG236" i="1"/>
  <c r="ET224" i="1"/>
  <c r="EN224" i="1"/>
  <c r="EQ224" i="1"/>
  <c r="EK224" i="1"/>
  <c r="EH224" i="1"/>
  <c r="EE224" i="1"/>
  <c r="DY224" i="1"/>
  <c r="EB224" i="1"/>
  <c r="DP224" i="1"/>
  <c r="DV224" i="1"/>
  <c r="DJ224" i="1"/>
  <c r="DS224" i="1"/>
  <c r="DM224" i="1"/>
  <c r="DD224" i="1"/>
  <c r="DG224" i="1"/>
  <c r="DE224" i="1" s="1"/>
  <c r="DA224" i="1"/>
  <c r="CY224" i="1" s="1"/>
  <c r="CX224" i="1"/>
  <c r="ET200" i="1"/>
  <c r="EN200" i="1"/>
  <c r="EQ200" i="1"/>
  <c r="EK200" i="1"/>
  <c r="EE200" i="1"/>
  <c r="DY200" i="1"/>
  <c r="EB200" i="1"/>
  <c r="EH200" i="1"/>
  <c r="DP200" i="1"/>
  <c r="DM200" i="1"/>
  <c r="DV200" i="1"/>
  <c r="DS200" i="1"/>
  <c r="DJ200" i="1"/>
  <c r="DA200" i="1"/>
  <c r="CY200" i="1" s="1"/>
  <c r="DD200" i="1"/>
  <c r="CX200" i="1"/>
  <c r="DG200" i="1"/>
  <c r="DE200" i="1" s="1"/>
  <c r="ET184" i="1"/>
  <c r="EN184" i="1"/>
  <c r="EQ184" i="1"/>
  <c r="EK184" i="1"/>
  <c r="EH184" i="1"/>
  <c r="EE184" i="1"/>
  <c r="DY184" i="1"/>
  <c r="EB184" i="1"/>
  <c r="DP184" i="1"/>
  <c r="DJ184" i="1"/>
  <c r="DM184" i="1"/>
  <c r="DV184" i="1"/>
  <c r="DS184" i="1"/>
  <c r="DA184" i="1"/>
  <c r="CY184" i="1" s="1"/>
  <c r="DD184" i="1"/>
  <c r="DG184" i="1"/>
  <c r="CX184" i="1"/>
  <c r="ET160" i="1"/>
  <c r="EN160" i="1"/>
  <c r="EQ160" i="1"/>
  <c r="EK160" i="1"/>
  <c r="EH160" i="1"/>
  <c r="EE160" i="1"/>
  <c r="DY160" i="1"/>
  <c r="EB160" i="1"/>
  <c r="DP160" i="1"/>
  <c r="DJ160" i="1"/>
  <c r="DS160" i="1"/>
  <c r="DM160" i="1"/>
  <c r="DV160" i="1"/>
  <c r="DD160" i="1"/>
  <c r="DG160" i="1"/>
  <c r="DA160" i="1"/>
  <c r="CY160" i="1" s="1"/>
  <c r="CX160" i="1"/>
  <c r="ET136" i="1"/>
  <c r="EQ136" i="1"/>
  <c r="EN136" i="1"/>
  <c r="EK136" i="1"/>
  <c r="EE136" i="1"/>
  <c r="EB136" i="1"/>
  <c r="DY136" i="1"/>
  <c r="EH136" i="1"/>
  <c r="DP136" i="1"/>
  <c r="DV136" i="1"/>
  <c r="DM136" i="1"/>
  <c r="DS136" i="1"/>
  <c r="DJ136" i="1"/>
  <c r="DA136" i="1"/>
  <c r="CY136" i="1" s="1"/>
  <c r="DD136" i="1"/>
  <c r="CX136" i="1"/>
  <c r="DG136" i="1"/>
  <c r="EQ112" i="1"/>
  <c r="ET112" i="1"/>
  <c r="EN112" i="1"/>
  <c r="EK112" i="1"/>
  <c r="EE112" i="1"/>
  <c r="EH112" i="1"/>
  <c r="DY112" i="1"/>
  <c r="EB112" i="1"/>
  <c r="DP112" i="1"/>
  <c r="DV112" i="1"/>
  <c r="DS112" i="1"/>
  <c r="DJ112" i="1"/>
  <c r="CX112" i="1"/>
  <c r="DM112" i="1"/>
  <c r="DG112" i="1"/>
  <c r="DD112" i="1"/>
  <c r="DA112" i="1"/>
  <c r="CY112" i="1" s="1"/>
  <c r="EQ96" i="1"/>
  <c r="ET96" i="1"/>
  <c r="EN96" i="1"/>
  <c r="EK96" i="1"/>
  <c r="EH96" i="1"/>
  <c r="EE96" i="1"/>
  <c r="DY96" i="1"/>
  <c r="EB96" i="1"/>
  <c r="DP96" i="1"/>
  <c r="DJ96" i="1"/>
  <c r="DS96" i="1"/>
  <c r="DM96" i="1"/>
  <c r="DV96" i="1"/>
  <c r="DD96" i="1"/>
  <c r="DG96" i="1"/>
  <c r="DA96" i="1"/>
  <c r="CY96" i="1" s="1"/>
  <c r="CX96" i="1"/>
  <c r="CV96" i="1" s="1"/>
  <c r="EQ68" i="1"/>
  <c r="ET68" i="1"/>
  <c r="EN68" i="1"/>
  <c r="EK68" i="1"/>
  <c r="EH68" i="1"/>
  <c r="DY68" i="1"/>
  <c r="EE68" i="1"/>
  <c r="EB68" i="1"/>
  <c r="DV68" i="1"/>
  <c r="DP68" i="1"/>
  <c r="DJ68" i="1"/>
  <c r="DS68" i="1"/>
  <c r="DM68" i="1"/>
  <c r="DG68" i="1"/>
  <c r="DD68" i="1"/>
  <c r="CX68" i="1"/>
  <c r="DA68" i="1"/>
  <c r="CY68" i="1" s="1"/>
  <c r="EQ40" i="1"/>
  <c r="ET40" i="1"/>
  <c r="EN40" i="1"/>
  <c r="EH40" i="1"/>
  <c r="EK40" i="1"/>
  <c r="EB40" i="1"/>
  <c r="EE40" i="1"/>
  <c r="DY40" i="1"/>
  <c r="DP40" i="1"/>
  <c r="DV40" i="1"/>
  <c r="DS40" i="1"/>
  <c r="DM40" i="1"/>
  <c r="DJ40" i="1"/>
  <c r="DG40" i="1"/>
  <c r="DA40" i="1"/>
  <c r="CY40" i="1" s="1"/>
  <c r="DD40" i="1"/>
  <c r="CX40" i="1"/>
  <c r="EQ16" i="1"/>
  <c r="ET16" i="1"/>
  <c r="EN16" i="1"/>
  <c r="EH16" i="1"/>
  <c r="EK16" i="1"/>
  <c r="EB16" i="1"/>
  <c r="EE16" i="1"/>
  <c r="DY16" i="1"/>
  <c r="DV16" i="1"/>
  <c r="DP16" i="1"/>
  <c r="DS16" i="1"/>
  <c r="DJ16" i="1"/>
  <c r="CX16" i="1"/>
  <c r="DG16" i="1"/>
  <c r="DE16" i="1" s="1"/>
  <c r="DM16" i="1"/>
  <c r="DD16" i="1"/>
  <c r="DA16" i="1"/>
  <c r="CY16" i="1" s="1"/>
  <c r="EG264" i="1"/>
  <c r="EP264" i="1"/>
  <c r="ED264" i="1"/>
  <c r="EA264" i="1"/>
  <c r="DR264" i="1"/>
  <c r="DI264" i="1"/>
  <c r="EJ264" i="1"/>
  <c r="ES264" i="1"/>
  <c r="DX264" i="1"/>
  <c r="DL264" i="1"/>
  <c r="EM264" i="1"/>
  <c r="DO264" i="1"/>
  <c r="DC264" i="1"/>
  <c r="EP244" i="1"/>
  <c r="ES244" i="1"/>
  <c r="EM244" i="1"/>
  <c r="EG244" i="1"/>
  <c r="EJ244" i="1"/>
  <c r="DR244" i="1"/>
  <c r="DO244" i="1"/>
  <c r="DC244" i="1"/>
  <c r="EA244" i="1"/>
  <c r="DF244" i="1"/>
  <c r="DX244" i="1"/>
  <c r="DI244" i="1"/>
  <c r="EG220" i="1"/>
  <c r="EJ220" i="1"/>
  <c r="EP220" i="1"/>
  <c r="EA220" i="1"/>
  <c r="DO220" i="1"/>
  <c r="DC220" i="1"/>
  <c r="ED220" i="1"/>
  <c r="DX220" i="1"/>
  <c r="DF220" i="1"/>
  <c r="EM220" i="1"/>
  <c r="DU220" i="1"/>
  <c r="DI220" i="1"/>
  <c r="EG200" i="1"/>
  <c r="EP200" i="1"/>
  <c r="EM200" i="1"/>
  <c r="ED200" i="1"/>
  <c r="EA200" i="1"/>
  <c r="DR200" i="1"/>
  <c r="DI200" i="1"/>
  <c r="DH200" i="1" s="1"/>
  <c r="EJ200" i="1"/>
  <c r="DX200" i="1"/>
  <c r="DL200" i="1"/>
  <c r="ES200" i="1"/>
  <c r="DO200" i="1"/>
  <c r="DC200" i="1"/>
  <c r="EP176" i="1"/>
  <c r="ES176" i="1"/>
  <c r="EG176" i="1"/>
  <c r="EM176" i="1"/>
  <c r="DX176" i="1"/>
  <c r="DI176" i="1"/>
  <c r="DL176" i="1"/>
  <c r="EJ176" i="1"/>
  <c r="DU176" i="1"/>
  <c r="ED176" i="1"/>
  <c r="DO176" i="1"/>
  <c r="DC176" i="1"/>
  <c r="DB176" i="1" s="1"/>
  <c r="ES152" i="1"/>
  <c r="EP152" i="1"/>
  <c r="ED152" i="1"/>
  <c r="EM152" i="1"/>
  <c r="EG152" i="1"/>
  <c r="DI152" i="1"/>
  <c r="DU152" i="1"/>
  <c r="DL152" i="1"/>
  <c r="EA152" i="1"/>
  <c r="DR152" i="1"/>
  <c r="DO152" i="1"/>
  <c r="DC152" i="1"/>
  <c r="DB152" i="1" s="1"/>
  <c r="EP124" i="1"/>
  <c r="EG124" i="1"/>
  <c r="EJ124" i="1"/>
  <c r="ES124" i="1"/>
  <c r="EM124" i="1"/>
  <c r="EA124" i="1"/>
  <c r="DO124" i="1"/>
  <c r="DC124" i="1"/>
  <c r="DX124" i="1"/>
  <c r="DF124" i="1"/>
  <c r="DU124" i="1"/>
  <c r="DI124" i="1"/>
  <c r="EP96" i="1"/>
  <c r="EM96" i="1"/>
  <c r="ES96" i="1"/>
  <c r="ED96" i="1"/>
  <c r="EG96" i="1"/>
  <c r="EJ96" i="1"/>
  <c r="DU96" i="1"/>
  <c r="DI96" i="1"/>
  <c r="DH96" i="1" s="1"/>
  <c r="EA96" i="1"/>
  <c r="DR96" i="1"/>
  <c r="DL96" i="1"/>
  <c r="DX96" i="1"/>
  <c r="DO96" i="1"/>
  <c r="DC96" i="1"/>
  <c r="EJ72" i="1"/>
  <c r="EM72" i="1"/>
  <c r="ED72" i="1"/>
  <c r="EG72" i="1"/>
  <c r="EP72" i="1"/>
  <c r="ES72" i="1"/>
  <c r="EA72" i="1"/>
  <c r="DR72" i="1"/>
  <c r="DI72" i="1"/>
  <c r="DH72" i="1" s="1"/>
  <c r="DX72" i="1"/>
  <c r="DL72" i="1"/>
  <c r="DO72" i="1"/>
  <c r="DC72" i="1"/>
  <c r="EP48" i="1"/>
  <c r="EJ48" i="1"/>
  <c r="ES48" i="1"/>
  <c r="EM48" i="1"/>
  <c r="ED48" i="1"/>
  <c r="EG48" i="1"/>
  <c r="DX48" i="1"/>
  <c r="DI48" i="1"/>
  <c r="DH48" i="1" s="1"/>
  <c r="DL48" i="1"/>
  <c r="DK48" i="1" s="1"/>
  <c r="DU48" i="1"/>
  <c r="DO48" i="1"/>
  <c r="DC48" i="1"/>
  <c r="EG28" i="1"/>
  <c r="EJ28" i="1"/>
  <c r="EP28" i="1"/>
  <c r="EM28" i="1"/>
  <c r="EA28" i="1"/>
  <c r="DO28" i="1"/>
  <c r="DC28" i="1"/>
  <c r="DX28" i="1"/>
  <c r="DF28" i="1"/>
  <c r="ES28" i="1"/>
  <c r="DU28" i="1"/>
  <c r="DI28" i="1"/>
  <c r="ES12" i="1"/>
  <c r="EP12" i="1"/>
  <c r="EG12" i="1"/>
  <c r="EM12" i="1"/>
  <c r="EA12" i="1"/>
  <c r="EJ12" i="1"/>
  <c r="DU12" i="1"/>
  <c r="DO12" i="1"/>
  <c r="DC12" i="1"/>
  <c r="ED12" i="1"/>
  <c r="DR12" i="1"/>
  <c r="DF12" i="1"/>
  <c r="DI12" i="1"/>
  <c r="EP271" i="1"/>
  <c r="ES271" i="1"/>
  <c r="EG271" i="1"/>
  <c r="DU271" i="1"/>
  <c r="EM271" i="1"/>
  <c r="EJ271" i="1"/>
  <c r="DX271" i="1"/>
  <c r="DI271" i="1"/>
  <c r="DL271" i="1"/>
  <c r="ED271" i="1"/>
  <c r="DO271" i="1"/>
  <c r="DC271" i="1"/>
  <c r="EM267" i="1"/>
  <c r="EP267" i="1"/>
  <c r="ES267" i="1"/>
  <c r="EJ267" i="1"/>
  <c r="EA267" i="1"/>
  <c r="ED267" i="1"/>
  <c r="DR267" i="1"/>
  <c r="DU267" i="1"/>
  <c r="DO267" i="1"/>
  <c r="DC267" i="1"/>
  <c r="DF267" i="1"/>
  <c r="DI267" i="1"/>
  <c r="EP263" i="1"/>
  <c r="ES263" i="1"/>
  <c r="EG263" i="1"/>
  <c r="DU263" i="1"/>
  <c r="EJ263" i="1"/>
  <c r="DX263" i="1"/>
  <c r="ED263" i="1"/>
  <c r="EA263" i="1"/>
  <c r="DR263" i="1"/>
  <c r="DI263" i="1"/>
  <c r="DL263" i="1"/>
  <c r="EM263" i="1"/>
  <c r="DO263" i="1"/>
  <c r="DC263" i="1"/>
  <c r="EM259" i="1"/>
  <c r="ES259" i="1"/>
  <c r="EJ259" i="1"/>
  <c r="EP259" i="1"/>
  <c r="EA259" i="1"/>
  <c r="ED259" i="1"/>
  <c r="DR259" i="1"/>
  <c r="DX259" i="1"/>
  <c r="DO259" i="1"/>
  <c r="DC259" i="1"/>
  <c r="DU259" i="1"/>
  <c r="DF259" i="1"/>
  <c r="DI259" i="1"/>
  <c r="DH259" i="1" s="1"/>
  <c r="EG259" i="1"/>
  <c r="EP255" i="1"/>
  <c r="ES255" i="1"/>
  <c r="EM255" i="1"/>
  <c r="EG255" i="1"/>
  <c r="DU255" i="1"/>
  <c r="EJ255" i="1"/>
  <c r="DX255" i="1"/>
  <c r="DI255" i="1"/>
  <c r="EA255" i="1"/>
  <c r="DR255" i="1"/>
  <c r="DL255" i="1"/>
  <c r="ED255" i="1"/>
  <c r="DO255" i="1"/>
  <c r="DC255" i="1"/>
  <c r="EP251" i="1"/>
  <c r="EM251" i="1"/>
  <c r="EJ251" i="1"/>
  <c r="ES251" i="1"/>
  <c r="EA251" i="1"/>
  <c r="ED251" i="1"/>
  <c r="DR251" i="1"/>
  <c r="DO251" i="1"/>
  <c r="DC251" i="1"/>
  <c r="DX251" i="1"/>
  <c r="DF251" i="1"/>
  <c r="EG251" i="1"/>
  <c r="DU251" i="1"/>
  <c r="DI251" i="1"/>
  <c r="EP247" i="1"/>
  <c r="ES247" i="1"/>
  <c r="EM247" i="1"/>
  <c r="EG247" i="1"/>
  <c r="DU247" i="1"/>
  <c r="EJ247" i="1"/>
  <c r="DX247" i="1"/>
  <c r="ED247" i="1"/>
  <c r="DI247" i="1"/>
  <c r="DL247" i="1"/>
  <c r="EA247" i="1"/>
  <c r="DR247" i="1"/>
  <c r="DO247" i="1"/>
  <c r="DC247" i="1"/>
  <c r="ES243" i="1"/>
  <c r="EM243" i="1"/>
  <c r="EJ243" i="1"/>
  <c r="EA243" i="1"/>
  <c r="EP243" i="1"/>
  <c r="ED243" i="1"/>
  <c r="DR243" i="1"/>
  <c r="DO243" i="1"/>
  <c r="DC243" i="1"/>
  <c r="EG243" i="1"/>
  <c r="DF243" i="1"/>
  <c r="DX243" i="1"/>
  <c r="DI243" i="1"/>
  <c r="EP239" i="1"/>
  <c r="ES239" i="1"/>
  <c r="EG239" i="1"/>
  <c r="DU239" i="1"/>
  <c r="EM239" i="1"/>
  <c r="EJ239" i="1"/>
  <c r="DX239" i="1"/>
  <c r="DI239" i="1"/>
  <c r="DH239" i="1" s="1"/>
  <c r="DL239" i="1"/>
  <c r="ED239" i="1"/>
  <c r="DO239" i="1"/>
  <c r="DC239" i="1"/>
  <c r="EM235" i="1"/>
  <c r="EP235" i="1"/>
  <c r="EJ235" i="1"/>
  <c r="EA235" i="1"/>
  <c r="ES235" i="1"/>
  <c r="ED235" i="1"/>
  <c r="DR235" i="1"/>
  <c r="DU235" i="1"/>
  <c r="DO235" i="1"/>
  <c r="DC235" i="1"/>
  <c r="DB235" i="1" s="1"/>
  <c r="DF235" i="1"/>
  <c r="DI235" i="1"/>
  <c r="DH235" i="1" s="1"/>
  <c r="EP231" i="1"/>
  <c r="ES231" i="1"/>
  <c r="EG231" i="1"/>
  <c r="DU231" i="1"/>
  <c r="EJ231" i="1"/>
  <c r="DX231" i="1"/>
  <c r="ED231" i="1"/>
  <c r="EA231" i="1"/>
  <c r="DR231" i="1"/>
  <c r="DI231" i="1"/>
  <c r="DH231" i="1" s="1"/>
  <c r="DL231" i="1"/>
  <c r="DO231" i="1"/>
  <c r="DC231" i="1"/>
  <c r="EM227" i="1"/>
  <c r="ES227" i="1"/>
  <c r="EJ227" i="1"/>
  <c r="EA227" i="1"/>
  <c r="ED227" i="1"/>
  <c r="DR227" i="1"/>
  <c r="EP227" i="1"/>
  <c r="DX227" i="1"/>
  <c r="DO227" i="1"/>
  <c r="DC227" i="1"/>
  <c r="DU227" i="1"/>
  <c r="DF227" i="1"/>
  <c r="DI227" i="1"/>
  <c r="DH227" i="1" s="1"/>
  <c r="EG227" i="1"/>
  <c r="EP223" i="1"/>
  <c r="ES223" i="1"/>
  <c r="EM223" i="1"/>
  <c r="EG223" i="1"/>
  <c r="DU223" i="1"/>
  <c r="EJ223" i="1"/>
  <c r="DX223" i="1"/>
  <c r="DI223" i="1"/>
  <c r="EA223" i="1"/>
  <c r="DR223" i="1"/>
  <c r="DL223" i="1"/>
  <c r="ED223" i="1"/>
  <c r="DO223" i="1"/>
  <c r="DC223" i="1"/>
  <c r="EP219" i="1"/>
  <c r="EM219" i="1"/>
  <c r="EJ219" i="1"/>
  <c r="EA219" i="1"/>
  <c r="ED219" i="1"/>
  <c r="DR219" i="1"/>
  <c r="DO219" i="1"/>
  <c r="DC219" i="1"/>
  <c r="DX219" i="1"/>
  <c r="DF219" i="1"/>
  <c r="EG219" i="1"/>
  <c r="DU219" i="1"/>
  <c r="DI219" i="1"/>
  <c r="EP215" i="1"/>
  <c r="ES215" i="1"/>
  <c r="EM215" i="1"/>
  <c r="EG215" i="1"/>
  <c r="DU215" i="1"/>
  <c r="EJ215" i="1"/>
  <c r="DX215" i="1"/>
  <c r="ED215" i="1"/>
  <c r="DI215" i="1"/>
  <c r="DL215" i="1"/>
  <c r="EA215" i="1"/>
  <c r="DR215" i="1"/>
  <c r="DO215" i="1"/>
  <c r="DC215" i="1"/>
  <c r="ES211" i="1"/>
  <c r="EM211" i="1"/>
  <c r="EP211" i="1"/>
  <c r="EJ211" i="1"/>
  <c r="EA211" i="1"/>
  <c r="ED211" i="1"/>
  <c r="DR211" i="1"/>
  <c r="DO211" i="1"/>
  <c r="DC211" i="1"/>
  <c r="EG211" i="1"/>
  <c r="DF211" i="1"/>
  <c r="DX211" i="1"/>
  <c r="DI211" i="1"/>
  <c r="EP207" i="1"/>
  <c r="ES207" i="1"/>
  <c r="EG207" i="1"/>
  <c r="DU207" i="1"/>
  <c r="EM207" i="1"/>
  <c r="EJ207" i="1"/>
  <c r="DX207" i="1"/>
  <c r="DI207" i="1"/>
  <c r="DL207" i="1"/>
  <c r="ED207" i="1"/>
  <c r="DO207" i="1"/>
  <c r="DC207" i="1"/>
  <c r="EM203" i="1"/>
  <c r="EP203" i="1"/>
  <c r="ES203" i="1"/>
  <c r="EJ203" i="1"/>
  <c r="EA203" i="1"/>
  <c r="ED203" i="1"/>
  <c r="DR203" i="1"/>
  <c r="DU203" i="1"/>
  <c r="DO203" i="1"/>
  <c r="DC203" i="1"/>
  <c r="DB203" i="1" s="1"/>
  <c r="DF203" i="1"/>
  <c r="DI203" i="1"/>
  <c r="EP199" i="1"/>
  <c r="ES199" i="1"/>
  <c r="EG199" i="1"/>
  <c r="DU199" i="1"/>
  <c r="EJ199" i="1"/>
  <c r="DX199" i="1"/>
  <c r="EM199" i="1"/>
  <c r="ED199" i="1"/>
  <c r="EA199" i="1"/>
  <c r="DR199" i="1"/>
  <c r="DI199" i="1"/>
  <c r="DL199" i="1"/>
  <c r="DK199" i="1" s="1"/>
  <c r="DO199" i="1"/>
  <c r="DC199" i="1"/>
  <c r="EM195" i="1"/>
  <c r="ES195" i="1"/>
  <c r="EJ195" i="1"/>
  <c r="EP195" i="1"/>
  <c r="EA195" i="1"/>
  <c r="ED195" i="1"/>
  <c r="DR195" i="1"/>
  <c r="DX195" i="1"/>
  <c r="DO195" i="1"/>
  <c r="DC195" i="1"/>
  <c r="DU195" i="1"/>
  <c r="DF195" i="1"/>
  <c r="DI195" i="1"/>
  <c r="EG195" i="1"/>
  <c r="EP191" i="1"/>
  <c r="ES191" i="1"/>
  <c r="EM191" i="1"/>
  <c r="EG191" i="1"/>
  <c r="DU191" i="1"/>
  <c r="EJ191" i="1"/>
  <c r="DX191" i="1"/>
  <c r="DI191" i="1"/>
  <c r="DH191" i="1" s="1"/>
  <c r="EA191" i="1"/>
  <c r="DR191" i="1"/>
  <c r="DL191" i="1"/>
  <c r="ED191" i="1"/>
  <c r="DO191" i="1"/>
  <c r="DC191" i="1"/>
  <c r="DB191" i="1" s="1"/>
  <c r="EP187" i="1"/>
  <c r="EM187" i="1"/>
  <c r="EJ187" i="1"/>
  <c r="ES187" i="1"/>
  <c r="EA187" i="1"/>
  <c r="ED187" i="1"/>
  <c r="DR187" i="1"/>
  <c r="DO187" i="1"/>
  <c r="DC187" i="1"/>
  <c r="DX187" i="1"/>
  <c r="DF187" i="1"/>
  <c r="EG187" i="1"/>
  <c r="DU187" i="1"/>
  <c r="DI187" i="1"/>
  <c r="EP183" i="1"/>
  <c r="ES183" i="1"/>
  <c r="EM183" i="1"/>
  <c r="EG183" i="1"/>
  <c r="DU183" i="1"/>
  <c r="EJ183" i="1"/>
  <c r="DX183" i="1"/>
  <c r="ED183" i="1"/>
  <c r="DI183" i="1"/>
  <c r="DL183" i="1"/>
  <c r="EA183" i="1"/>
  <c r="DR183" i="1"/>
  <c r="DO183" i="1"/>
  <c r="DC183" i="1"/>
  <c r="ES179" i="1"/>
  <c r="EM179" i="1"/>
  <c r="EJ179" i="1"/>
  <c r="EA179" i="1"/>
  <c r="EP179" i="1"/>
  <c r="ED179" i="1"/>
  <c r="DR179" i="1"/>
  <c r="DO179" i="1"/>
  <c r="DC179" i="1"/>
  <c r="EG179" i="1"/>
  <c r="DF179" i="1"/>
  <c r="DX179" i="1"/>
  <c r="DI179" i="1"/>
  <c r="EP175" i="1"/>
  <c r="ES175" i="1"/>
  <c r="EG175" i="1"/>
  <c r="DU175" i="1"/>
  <c r="EM175" i="1"/>
  <c r="EJ175" i="1"/>
  <c r="DX175" i="1"/>
  <c r="DI175" i="1"/>
  <c r="DL175" i="1"/>
  <c r="DK175" i="1" s="1"/>
  <c r="ED175" i="1"/>
  <c r="DO175" i="1"/>
  <c r="DC175" i="1"/>
  <c r="DB175" i="1" s="1"/>
  <c r="EM171" i="1"/>
  <c r="EP171" i="1"/>
  <c r="EJ171" i="1"/>
  <c r="EA171" i="1"/>
  <c r="ES171" i="1"/>
  <c r="ED171" i="1"/>
  <c r="DR171" i="1"/>
  <c r="DU171" i="1"/>
  <c r="DO171" i="1"/>
  <c r="DC171" i="1"/>
  <c r="DF171" i="1"/>
  <c r="DI171" i="1"/>
  <c r="DH171" i="1" s="1"/>
  <c r="EP167" i="1"/>
  <c r="ES167" i="1"/>
  <c r="ED167" i="1"/>
  <c r="EG167" i="1"/>
  <c r="DU167" i="1"/>
  <c r="EJ167" i="1"/>
  <c r="DX167" i="1"/>
  <c r="EA167" i="1"/>
  <c r="DR167" i="1"/>
  <c r="DI167" i="1"/>
  <c r="EM167" i="1"/>
  <c r="DL167" i="1"/>
  <c r="DO167" i="1"/>
  <c r="DC167" i="1"/>
  <c r="EM163" i="1"/>
  <c r="ES163" i="1"/>
  <c r="EJ163" i="1"/>
  <c r="EA163" i="1"/>
  <c r="ED163" i="1"/>
  <c r="DR163" i="1"/>
  <c r="DX163" i="1"/>
  <c r="DO163" i="1"/>
  <c r="DC163" i="1"/>
  <c r="EP163" i="1"/>
  <c r="DU163" i="1"/>
  <c r="DF163" i="1"/>
  <c r="DI163" i="1"/>
  <c r="EG163" i="1"/>
  <c r="EP159" i="1"/>
  <c r="ES159" i="1"/>
  <c r="EM159" i="1"/>
  <c r="ED159" i="1"/>
  <c r="EG159" i="1"/>
  <c r="DU159" i="1"/>
  <c r="EJ159" i="1"/>
  <c r="DX159" i="1"/>
  <c r="DI159" i="1"/>
  <c r="EA159" i="1"/>
  <c r="DR159" i="1"/>
  <c r="DL159" i="1"/>
  <c r="DO159" i="1"/>
  <c r="DC159" i="1"/>
  <c r="EP155" i="1"/>
  <c r="EM155" i="1"/>
  <c r="EJ155" i="1"/>
  <c r="EA155" i="1"/>
  <c r="ED155" i="1"/>
  <c r="DR155" i="1"/>
  <c r="ES155" i="1"/>
  <c r="DO155" i="1"/>
  <c r="DC155" i="1"/>
  <c r="DX155" i="1"/>
  <c r="DF155" i="1"/>
  <c r="EG155" i="1"/>
  <c r="DU155" i="1"/>
  <c r="DI155" i="1"/>
  <c r="EP151" i="1"/>
  <c r="ES151" i="1"/>
  <c r="ED151" i="1"/>
  <c r="EM151" i="1"/>
  <c r="EG151" i="1"/>
  <c r="DU151" i="1"/>
  <c r="EJ151" i="1"/>
  <c r="DX151" i="1"/>
  <c r="DI151" i="1"/>
  <c r="DH151" i="1" s="1"/>
  <c r="DL151" i="1"/>
  <c r="EA151" i="1"/>
  <c r="DR151" i="1"/>
  <c r="DO151" i="1"/>
  <c r="DC151" i="1"/>
  <c r="ES147" i="1"/>
  <c r="EM147" i="1"/>
  <c r="EP147" i="1"/>
  <c r="EJ147" i="1"/>
  <c r="EA147" i="1"/>
  <c r="ED147" i="1"/>
  <c r="DR147" i="1"/>
  <c r="DO147" i="1"/>
  <c r="DC147" i="1"/>
  <c r="EG147" i="1"/>
  <c r="DF147" i="1"/>
  <c r="DX147" i="1"/>
  <c r="DI147" i="1"/>
  <c r="EP143" i="1"/>
  <c r="ES143" i="1"/>
  <c r="EM143" i="1"/>
  <c r="ED143" i="1"/>
  <c r="EG143" i="1"/>
  <c r="DU143" i="1"/>
  <c r="EJ143" i="1"/>
  <c r="DX143" i="1"/>
  <c r="DI143" i="1"/>
  <c r="DL143" i="1"/>
  <c r="DO143" i="1"/>
  <c r="DC143" i="1"/>
  <c r="EM139" i="1"/>
  <c r="EP139" i="1"/>
  <c r="ES139" i="1"/>
  <c r="EJ139" i="1"/>
  <c r="EA139" i="1"/>
  <c r="ED139" i="1"/>
  <c r="DR139" i="1"/>
  <c r="DU139" i="1"/>
  <c r="DO139" i="1"/>
  <c r="DC139" i="1"/>
  <c r="DF139" i="1"/>
  <c r="DI139" i="1"/>
  <c r="EP135" i="1"/>
  <c r="ES135" i="1"/>
  <c r="EM135" i="1"/>
  <c r="ED135" i="1"/>
  <c r="EG135" i="1"/>
  <c r="DU135" i="1"/>
  <c r="EJ135" i="1"/>
  <c r="DX135" i="1"/>
  <c r="EA135" i="1"/>
  <c r="DR135" i="1"/>
  <c r="DI135" i="1"/>
  <c r="DL135" i="1"/>
  <c r="DO135" i="1"/>
  <c r="DC135" i="1"/>
  <c r="EM131" i="1"/>
  <c r="ES131" i="1"/>
  <c r="EJ131" i="1"/>
  <c r="EP131" i="1"/>
  <c r="EA131" i="1"/>
  <c r="ED131" i="1"/>
  <c r="DR131" i="1"/>
  <c r="DX131" i="1"/>
  <c r="DO131" i="1"/>
  <c r="DC131" i="1"/>
  <c r="DB131" i="1" s="1"/>
  <c r="DU131" i="1"/>
  <c r="DF131" i="1"/>
  <c r="DI131" i="1"/>
  <c r="EG131" i="1"/>
  <c r="EP127" i="1"/>
  <c r="ES127" i="1"/>
  <c r="EM127" i="1"/>
  <c r="ED127" i="1"/>
  <c r="EG127" i="1"/>
  <c r="DU127" i="1"/>
  <c r="EJ127" i="1"/>
  <c r="DX127" i="1"/>
  <c r="DI127" i="1"/>
  <c r="DH127" i="1" s="1"/>
  <c r="EA127" i="1"/>
  <c r="DR127" i="1"/>
  <c r="DL127" i="1"/>
  <c r="DK127" i="1" s="1"/>
  <c r="DO127" i="1"/>
  <c r="DC127" i="1"/>
  <c r="EP123" i="1"/>
  <c r="EM123" i="1"/>
  <c r="EJ123" i="1"/>
  <c r="ES123" i="1"/>
  <c r="EA123" i="1"/>
  <c r="ED123" i="1"/>
  <c r="DR123" i="1"/>
  <c r="DO123" i="1"/>
  <c r="DC123" i="1"/>
  <c r="DX123" i="1"/>
  <c r="DF123" i="1"/>
  <c r="DE123" i="1" s="1"/>
  <c r="EG123" i="1"/>
  <c r="DU123" i="1"/>
  <c r="DI123" i="1"/>
  <c r="DH123" i="1" s="1"/>
  <c r="EP119" i="1"/>
  <c r="ES119" i="1"/>
  <c r="EM119" i="1"/>
  <c r="ED119" i="1"/>
  <c r="EG119" i="1"/>
  <c r="DU119" i="1"/>
  <c r="EJ119" i="1"/>
  <c r="DX119" i="1"/>
  <c r="DI119" i="1"/>
  <c r="DL119" i="1"/>
  <c r="EA119" i="1"/>
  <c r="DR119" i="1"/>
  <c r="DO119" i="1"/>
  <c r="DC119" i="1"/>
  <c r="DB119" i="1" s="1"/>
  <c r="ES115" i="1"/>
  <c r="EM115" i="1"/>
  <c r="EJ115" i="1"/>
  <c r="EA115" i="1"/>
  <c r="EP115" i="1"/>
  <c r="ED115" i="1"/>
  <c r="DR115" i="1"/>
  <c r="DO115" i="1"/>
  <c r="DC115" i="1"/>
  <c r="EG115" i="1"/>
  <c r="DF115" i="1"/>
  <c r="DX115" i="1"/>
  <c r="DI115" i="1"/>
  <c r="EP111" i="1"/>
  <c r="ES111" i="1"/>
  <c r="EM111" i="1"/>
  <c r="ED111" i="1"/>
  <c r="EG111" i="1"/>
  <c r="DU111" i="1"/>
  <c r="EJ111" i="1"/>
  <c r="DX111" i="1"/>
  <c r="DI111" i="1"/>
  <c r="DL111" i="1"/>
  <c r="DO111" i="1"/>
  <c r="DC111" i="1"/>
  <c r="EM107" i="1"/>
  <c r="EP107" i="1"/>
  <c r="EJ107" i="1"/>
  <c r="EA107" i="1"/>
  <c r="ES107" i="1"/>
  <c r="ED107" i="1"/>
  <c r="DR107" i="1"/>
  <c r="DU107" i="1"/>
  <c r="DO107" i="1"/>
  <c r="DC107" i="1"/>
  <c r="DF107" i="1"/>
  <c r="DI107" i="1"/>
  <c r="EP103" i="1"/>
  <c r="ES103" i="1"/>
  <c r="EM103" i="1"/>
  <c r="ED103" i="1"/>
  <c r="EG103" i="1"/>
  <c r="DU103" i="1"/>
  <c r="EJ103" i="1"/>
  <c r="DX103" i="1"/>
  <c r="EA103" i="1"/>
  <c r="DR103" i="1"/>
  <c r="DI103" i="1"/>
  <c r="DL103" i="1"/>
  <c r="DO103" i="1"/>
  <c r="DC103" i="1"/>
  <c r="EM99" i="1"/>
  <c r="ES99" i="1"/>
  <c r="EJ99" i="1"/>
  <c r="EA99" i="1"/>
  <c r="ED99" i="1"/>
  <c r="DR99" i="1"/>
  <c r="DX99" i="1"/>
  <c r="DO99" i="1"/>
  <c r="DC99" i="1"/>
  <c r="DU99" i="1"/>
  <c r="DF99" i="1"/>
  <c r="DE99" i="1" s="1"/>
  <c r="EP99" i="1"/>
  <c r="DI99" i="1"/>
  <c r="DH99" i="1" s="1"/>
  <c r="EG99" i="1"/>
  <c r="EP95" i="1"/>
  <c r="ES95" i="1"/>
  <c r="EM95" i="1"/>
  <c r="ED95" i="1"/>
  <c r="EG95" i="1"/>
  <c r="DU95" i="1"/>
  <c r="EJ95" i="1"/>
  <c r="DX95" i="1"/>
  <c r="DI95" i="1"/>
  <c r="EA95" i="1"/>
  <c r="DR95" i="1"/>
  <c r="DL95" i="1"/>
  <c r="DO95" i="1"/>
  <c r="DC95" i="1"/>
  <c r="DB95" i="1" s="1"/>
  <c r="EP91" i="1"/>
  <c r="EM91" i="1"/>
  <c r="EJ91" i="1"/>
  <c r="EA91" i="1"/>
  <c r="ED91" i="1"/>
  <c r="DR91" i="1"/>
  <c r="DO91" i="1"/>
  <c r="DC91" i="1"/>
  <c r="DB91" i="1" s="1"/>
  <c r="ES91" i="1"/>
  <c r="DX91" i="1"/>
  <c r="DF91" i="1"/>
  <c r="EG91" i="1"/>
  <c r="DU91" i="1"/>
  <c r="DI91" i="1"/>
  <c r="EP87" i="1"/>
  <c r="ES87" i="1"/>
  <c r="EM87" i="1"/>
  <c r="ED87" i="1"/>
  <c r="EG87" i="1"/>
  <c r="DU87" i="1"/>
  <c r="DX87" i="1"/>
  <c r="DI87" i="1"/>
  <c r="DL87" i="1"/>
  <c r="EA87" i="1"/>
  <c r="DR87" i="1"/>
  <c r="DO87" i="1"/>
  <c r="DC87" i="1"/>
  <c r="ES83" i="1"/>
  <c r="EM83" i="1"/>
  <c r="EP83" i="1"/>
  <c r="EJ83" i="1"/>
  <c r="EA83" i="1"/>
  <c r="ED83" i="1"/>
  <c r="DR83" i="1"/>
  <c r="DO83" i="1"/>
  <c r="DC83" i="1"/>
  <c r="EG83" i="1"/>
  <c r="DF83" i="1"/>
  <c r="DX83" i="1"/>
  <c r="DI83" i="1"/>
  <c r="EP79" i="1"/>
  <c r="ES79" i="1"/>
  <c r="EM79" i="1"/>
  <c r="ED79" i="1"/>
  <c r="EG79" i="1"/>
  <c r="DU79" i="1"/>
  <c r="DX79" i="1"/>
  <c r="DI79" i="1"/>
  <c r="DL79" i="1"/>
  <c r="DK79" i="1" s="1"/>
  <c r="DO79" i="1"/>
  <c r="DC79" i="1"/>
  <c r="EJ79" i="1"/>
  <c r="EM75" i="1"/>
  <c r="EP75" i="1"/>
  <c r="ES75" i="1"/>
  <c r="EA75" i="1"/>
  <c r="EJ75" i="1"/>
  <c r="ED75" i="1"/>
  <c r="DR75" i="1"/>
  <c r="DU75" i="1"/>
  <c r="DO75" i="1"/>
  <c r="DC75" i="1"/>
  <c r="DF75" i="1"/>
  <c r="DI75" i="1"/>
  <c r="EP71" i="1"/>
  <c r="ES71" i="1"/>
  <c r="EM71" i="1"/>
  <c r="EJ71" i="1"/>
  <c r="ED71" i="1"/>
  <c r="EG71" i="1"/>
  <c r="DU71" i="1"/>
  <c r="DX71" i="1"/>
  <c r="EA71" i="1"/>
  <c r="DR71" i="1"/>
  <c r="DI71" i="1"/>
  <c r="DL71" i="1"/>
  <c r="DO71" i="1"/>
  <c r="DC71" i="1"/>
  <c r="EM67" i="1"/>
  <c r="ES67" i="1"/>
  <c r="EP67" i="1"/>
  <c r="EA67" i="1"/>
  <c r="ED67" i="1"/>
  <c r="DR67" i="1"/>
  <c r="DX67" i="1"/>
  <c r="DO67" i="1"/>
  <c r="DC67" i="1"/>
  <c r="EJ67" i="1"/>
  <c r="DU67" i="1"/>
  <c r="DF67" i="1"/>
  <c r="DI67" i="1"/>
  <c r="EG67" i="1"/>
  <c r="EP63" i="1"/>
  <c r="ES63" i="1"/>
  <c r="EM63" i="1"/>
  <c r="ED63" i="1"/>
  <c r="EJ63" i="1"/>
  <c r="EG63" i="1"/>
  <c r="DU63" i="1"/>
  <c r="DX63" i="1"/>
  <c r="DI63" i="1"/>
  <c r="EA63" i="1"/>
  <c r="DR63" i="1"/>
  <c r="DL63" i="1"/>
  <c r="DO63" i="1"/>
  <c r="DC63" i="1"/>
  <c r="EP59" i="1"/>
  <c r="EM59" i="1"/>
  <c r="EJ59" i="1"/>
  <c r="ES59" i="1"/>
  <c r="EA59" i="1"/>
  <c r="ED59" i="1"/>
  <c r="DR59" i="1"/>
  <c r="DO59" i="1"/>
  <c r="DC59" i="1"/>
  <c r="DX59" i="1"/>
  <c r="DF59" i="1"/>
  <c r="EG59" i="1"/>
  <c r="DU59" i="1"/>
  <c r="DI59" i="1"/>
  <c r="EP55" i="1"/>
  <c r="ES55" i="1"/>
  <c r="EM55" i="1"/>
  <c r="ED55" i="1"/>
  <c r="EG55" i="1"/>
  <c r="DU55" i="1"/>
  <c r="EJ55" i="1"/>
  <c r="DX55" i="1"/>
  <c r="DI55" i="1"/>
  <c r="DL55" i="1"/>
  <c r="EA55" i="1"/>
  <c r="DR55" i="1"/>
  <c r="DO55" i="1"/>
  <c r="DC55" i="1"/>
  <c r="ES51" i="1"/>
  <c r="EM51" i="1"/>
  <c r="EJ51" i="1"/>
  <c r="EA51" i="1"/>
  <c r="EP51" i="1"/>
  <c r="ED51" i="1"/>
  <c r="DR51" i="1"/>
  <c r="DO51" i="1"/>
  <c r="DC51" i="1"/>
  <c r="EG51" i="1"/>
  <c r="DF51" i="1"/>
  <c r="DX51" i="1"/>
  <c r="DI51" i="1"/>
  <c r="EP47" i="1"/>
  <c r="ES47" i="1"/>
  <c r="EM47" i="1"/>
  <c r="ED47" i="1"/>
  <c r="EG47" i="1"/>
  <c r="DU47" i="1"/>
  <c r="DX47" i="1"/>
  <c r="DI47" i="1"/>
  <c r="DH47" i="1" s="1"/>
  <c r="DL47" i="1"/>
  <c r="DO47" i="1"/>
  <c r="DC47" i="1"/>
  <c r="EM43" i="1"/>
  <c r="EP43" i="1"/>
  <c r="EA43" i="1"/>
  <c r="EJ43" i="1"/>
  <c r="ES43" i="1"/>
  <c r="ED43" i="1"/>
  <c r="DR43" i="1"/>
  <c r="DU43" i="1"/>
  <c r="DO43" i="1"/>
  <c r="DC43" i="1"/>
  <c r="DB43" i="1" s="1"/>
  <c r="DF43" i="1"/>
  <c r="DE43" i="1" s="1"/>
  <c r="DI43" i="1"/>
  <c r="DH43" i="1" s="1"/>
  <c r="EP39" i="1"/>
  <c r="ES39" i="1"/>
  <c r="EM39" i="1"/>
  <c r="EJ39" i="1"/>
  <c r="ED39" i="1"/>
  <c r="EG39" i="1"/>
  <c r="DU39" i="1"/>
  <c r="DX39" i="1"/>
  <c r="EA39" i="1"/>
  <c r="DR39" i="1"/>
  <c r="DI39" i="1"/>
  <c r="DL39" i="1"/>
  <c r="DO39" i="1"/>
  <c r="DC39" i="1"/>
  <c r="EM35" i="1"/>
  <c r="ES35" i="1"/>
  <c r="EA35" i="1"/>
  <c r="ED35" i="1"/>
  <c r="DR35" i="1"/>
  <c r="DX35" i="1"/>
  <c r="DO35" i="1"/>
  <c r="DC35" i="1"/>
  <c r="DU35" i="1"/>
  <c r="DF35" i="1"/>
  <c r="EJ35" i="1"/>
  <c r="DI35" i="1"/>
  <c r="EG35" i="1"/>
  <c r="EP31" i="1"/>
  <c r="ES31" i="1"/>
  <c r="EM31" i="1"/>
  <c r="ED31" i="1"/>
  <c r="EJ31" i="1"/>
  <c r="EG31" i="1"/>
  <c r="DU31" i="1"/>
  <c r="DX31" i="1"/>
  <c r="DI31" i="1"/>
  <c r="DR31" i="1"/>
  <c r="DL31" i="1"/>
  <c r="EA31" i="1"/>
  <c r="DO31" i="1"/>
  <c r="DC31" i="1"/>
  <c r="EP27" i="1"/>
  <c r="EM27" i="1"/>
  <c r="EJ27" i="1"/>
  <c r="EA27" i="1"/>
  <c r="ED27" i="1"/>
  <c r="DR27" i="1"/>
  <c r="DO27" i="1"/>
  <c r="DC27" i="1"/>
  <c r="DX27" i="1"/>
  <c r="DF27" i="1"/>
  <c r="EG27" i="1"/>
  <c r="ES27" i="1"/>
  <c r="DU27" i="1"/>
  <c r="DI27" i="1"/>
  <c r="DH27" i="1" s="1"/>
  <c r="EP23" i="1"/>
  <c r="ES23" i="1"/>
  <c r="EM23" i="1"/>
  <c r="ED23" i="1"/>
  <c r="EG23" i="1"/>
  <c r="DU23" i="1"/>
  <c r="EJ23" i="1"/>
  <c r="DX23" i="1"/>
  <c r="DI23" i="1"/>
  <c r="DL23" i="1"/>
  <c r="DR23" i="1"/>
  <c r="DO23" i="1"/>
  <c r="DC23" i="1"/>
  <c r="ES19" i="1"/>
  <c r="EM19" i="1"/>
  <c r="EP19" i="1"/>
  <c r="EJ19" i="1"/>
  <c r="EA19" i="1"/>
  <c r="ED19" i="1"/>
  <c r="DR19" i="1"/>
  <c r="DO19" i="1"/>
  <c r="DC19" i="1"/>
  <c r="EG19" i="1"/>
  <c r="DF19" i="1"/>
  <c r="DX19" i="1"/>
  <c r="DI19" i="1"/>
  <c r="EP15" i="1"/>
  <c r="ES15" i="1"/>
  <c r="EM15" i="1"/>
  <c r="ED15" i="1"/>
  <c r="EG15" i="1"/>
  <c r="DU15" i="1"/>
  <c r="DX15" i="1"/>
  <c r="DI15" i="1"/>
  <c r="DH15" i="1" s="1"/>
  <c r="EJ15" i="1"/>
  <c r="DL15" i="1"/>
  <c r="EA15" i="1"/>
  <c r="DO15" i="1"/>
  <c r="DC15" i="1"/>
  <c r="EM11" i="1"/>
  <c r="EP11" i="1"/>
  <c r="ES11" i="1"/>
  <c r="EA11" i="1"/>
  <c r="EJ11" i="1"/>
  <c r="ED11" i="1"/>
  <c r="DR11" i="1"/>
  <c r="DU11" i="1"/>
  <c r="DO11" i="1"/>
  <c r="DC11" i="1"/>
  <c r="DF11" i="1"/>
  <c r="DI11" i="1"/>
  <c r="EP7" i="1"/>
  <c r="ES7" i="1"/>
  <c r="EM7" i="1"/>
  <c r="EJ7" i="1"/>
  <c r="ED7" i="1"/>
  <c r="EG7" i="1"/>
  <c r="DU7" i="1"/>
  <c r="DX7" i="1"/>
  <c r="DR7" i="1"/>
  <c r="DI7" i="1"/>
  <c r="DL7" i="1"/>
  <c r="DO7" i="1"/>
  <c r="DC7" i="1"/>
  <c r="CW271" i="1"/>
  <c r="CW263" i="1"/>
  <c r="CW255" i="1"/>
  <c r="CW247" i="1"/>
  <c r="CW239" i="1"/>
  <c r="CW231" i="1"/>
  <c r="CW223" i="1"/>
  <c r="CW215" i="1"/>
  <c r="CW207" i="1"/>
  <c r="CW199" i="1"/>
  <c r="CW191" i="1"/>
  <c r="CW183" i="1"/>
  <c r="CW175" i="1"/>
  <c r="CW167" i="1"/>
  <c r="CW159" i="1"/>
  <c r="CV159" i="1" s="1"/>
  <c r="CW151" i="1"/>
  <c r="CW143" i="1"/>
  <c r="CW135" i="1"/>
  <c r="CW127" i="1"/>
  <c r="CW119" i="1"/>
  <c r="CW111" i="1"/>
  <c r="CW103" i="1"/>
  <c r="CW95" i="1"/>
  <c r="CV95" i="1" s="1"/>
  <c r="CW87" i="1"/>
  <c r="CW79" i="1"/>
  <c r="CW71" i="1"/>
  <c r="CW63" i="1"/>
  <c r="CW55" i="1"/>
  <c r="CW47" i="1"/>
  <c r="CW39" i="1"/>
  <c r="CW31" i="1"/>
  <c r="CV31" i="1" s="1"/>
  <c r="CW23" i="1"/>
  <c r="CW15" i="1"/>
  <c r="CW7" i="1"/>
  <c r="DC249" i="1"/>
  <c r="DC185" i="1"/>
  <c r="DC153" i="1"/>
  <c r="DC121" i="1"/>
  <c r="DF263" i="1"/>
  <c r="DF231" i="1"/>
  <c r="DF199" i="1"/>
  <c r="DF167" i="1"/>
  <c r="DE167" i="1" s="1"/>
  <c r="DF135" i="1"/>
  <c r="DF103" i="1"/>
  <c r="DF71" i="1"/>
  <c r="DF39" i="1"/>
  <c r="DF7" i="1"/>
  <c r="DE7" i="1" s="1"/>
  <c r="DI245" i="1"/>
  <c r="DI213" i="1"/>
  <c r="DI181" i="1"/>
  <c r="DI149" i="1"/>
  <c r="DI117" i="1"/>
  <c r="DI85" i="1"/>
  <c r="DI53" i="1"/>
  <c r="DI21" i="1"/>
  <c r="DL259" i="1"/>
  <c r="DL227" i="1"/>
  <c r="DL195" i="1"/>
  <c r="DL163" i="1"/>
  <c r="DL131" i="1"/>
  <c r="DL99" i="1"/>
  <c r="DL67" i="1"/>
  <c r="DL35" i="1"/>
  <c r="DL3" i="1"/>
  <c r="DO241" i="1"/>
  <c r="DO209" i="1"/>
  <c r="DO177" i="1"/>
  <c r="DO145" i="1"/>
  <c r="DO113" i="1"/>
  <c r="DO81" i="1"/>
  <c r="DO49" i="1"/>
  <c r="DO17" i="1"/>
  <c r="DR207" i="1"/>
  <c r="DR165" i="1"/>
  <c r="DR122" i="1"/>
  <c r="DR79" i="1"/>
  <c r="DR37" i="1"/>
  <c r="DU264" i="1"/>
  <c r="DU221" i="1"/>
  <c r="DU179" i="1"/>
  <c r="DU93" i="1"/>
  <c r="DU51" i="1"/>
  <c r="DX235" i="1"/>
  <c r="DX150" i="1"/>
  <c r="DX107" i="1"/>
  <c r="DX22" i="1"/>
  <c r="EA207" i="1"/>
  <c r="EA164" i="1"/>
  <c r="EA79" i="1"/>
  <c r="ED244" i="1"/>
  <c r="ED60" i="1"/>
  <c r="EG202" i="1"/>
  <c r="EG74" i="1"/>
  <c r="EJ87" i="1"/>
  <c r="EM188" i="1"/>
  <c r="EP205" i="1"/>
  <c r="ES134" i="1"/>
  <c r="ET264" i="1"/>
  <c r="EN264" i="1"/>
  <c r="EQ264" i="1"/>
  <c r="EK264" i="1"/>
  <c r="EE264" i="1"/>
  <c r="DY264" i="1"/>
  <c r="EH264" i="1"/>
  <c r="EB264" i="1"/>
  <c r="DP264" i="1"/>
  <c r="DV264" i="1"/>
  <c r="DJ264" i="1"/>
  <c r="DA264" i="1"/>
  <c r="CY264" i="1" s="1"/>
  <c r="DD264" i="1"/>
  <c r="DS264" i="1"/>
  <c r="DM264" i="1"/>
  <c r="CX264" i="1"/>
  <c r="DG264" i="1"/>
  <c r="DE264" i="1" s="1"/>
  <c r="ET244" i="1"/>
  <c r="EN244" i="1"/>
  <c r="EQ244" i="1"/>
  <c r="EK244" i="1"/>
  <c r="EE244" i="1"/>
  <c r="EH244" i="1"/>
  <c r="DV244" i="1"/>
  <c r="DJ244" i="1"/>
  <c r="EB244" i="1"/>
  <c r="DY244" i="1"/>
  <c r="DS244" i="1"/>
  <c r="DP244" i="1"/>
  <c r="DD244" i="1"/>
  <c r="DM244" i="1"/>
  <c r="DG244" i="1"/>
  <c r="DA244" i="1"/>
  <c r="CY244" i="1" s="1"/>
  <c r="CX244" i="1"/>
  <c r="ET212" i="1"/>
  <c r="EN212" i="1"/>
  <c r="EQ212" i="1"/>
  <c r="EK212" i="1"/>
  <c r="EH212" i="1"/>
  <c r="EE212" i="1"/>
  <c r="DY212" i="1"/>
  <c r="DV212" i="1"/>
  <c r="DJ212" i="1"/>
  <c r="EB212" i="1"/>
  <c r="DS212" i="1"/>
  <c r="DD212" i="1"/>
  <c r="DM212" i="1"/>
  <c r="DG212" i="1"/>
  <c r="DP212" i="1"/>
  <c r="DA212" i="1"/>
  <c r="CY212" i="1" s="1"/>
  <c r="CX212" i="1"/>
  <c r="ET192" i="1"/>
  <c r="EN192" i="1"/>
  <c r="EQ192" i="1"/>
  <c r="EK192" i="1"/>
  <c r="EH192" i="1"/>
  <c r="EE192" i="1"/>
  <c r="DY192" i="1"/>
  <c r="EB192" i="1"/>
  <c r="DP192" i="1"/>
  <c r="DM192" i="1"/>
  <c r="DV192" i="1"/>
  <c r="DJ192" i="1"/>
  <c r="DS192" i="1"/>
  <c r="DA192" i="1"/>
  <c r="CY192" i="1" s="1"/>
  <c r="DD192" i="1"/>
  <c r="CX192" i="1"/>
  <c r="ET168" i="1"/>
  <c r="EN168" i="1"/>
  <c r="EQ168" i="1"/>
  <c r="EK168" i="1"/>
  <c r="EE168" i="1"/>
  <c r="EH168" i="1"/>
  <c r="DY168" i="1"/>
  <c r="EB168" i="1"/>
  <c r="DP168" i="1"/>
  <c r="DS168" i="1"/>
  <c r="DV168" i="1"/>
  <c r="DM168" i="1"/>
  <c r="DJ168" i="1"/>
  <c r="DA168" i="1"/>
  <c r="CY168" i="1" s="1"/>
  <c r="DD168" i="1"/>
  <c r="DG168" i="1"/>
  <c r="DE168" i="1" s="1"/>
  <c r="CX168" i="1"/>
  <c r="ET144" i="1"/>
  <c r="EN144" i="1"/>
  <c r="EQ144" i="1"/>
  <c r="EK144" i="1"/>
  <c r="EE144" i="1"/>
  <c r="EH144" i="1"/>
  <c r="DY144" i="1"/>
  <c r="DP144" i="1"/>
  <c r="DS144" i="1"/>
  <c r="EB144" i="1"/>
  <c r="DJ144" i="1"/>
  <c r="DV144" i="1"/>
  <c r="DM144" i="1"/>
  <c r="CX144" i="1"/>
  <c r="DG144" i="1"/>
  <c r="DE144" i="1" s="1"/>
  <c r="DD144" i="1"/>
  <c r="DA144" i="1"/>
  <c r="CY144" i="1" s="1"/>
  <c r="EQ124" i="1"/>
  <c r="ET124" i="1"/>
  <c r="EN124" i="1"/>
  <c r="EK124" i="1"/>
  <c r="EH124" i="1"/>
  <c r="DY124" i="1"/>
  <c r="EE124" i="1"/>
  <c r="DV124" i="1"/>
  <c r="DJ124" i="1"/>
  <c r="DP124" i="1"/>
  <c r="DS124" i="1"/>
  <c r="DM124" i="1"/>
  <c r="DD124" i="1"/>
  <c r="EB124" i="1"/>
  <c r="DG124" i="1"/>
  <c r="CX124" i="1"/>
  <c r="DA124" i="1"/>
  <c r="CY124" i="1" s="1"/>
  <c r="EQ104" i="1"/>
  <c r="ET104" i="1"/>
  <c r="EN104" i="1"/>
  <c r="EK104" i="1"/>
  <c r="EE104" i="1"/>
  <c r="EB104" i="1"/>
  <c r="DY104" i="1"/>
  <c r="EH104" i="1"/>
  <c r="DP104" i="1"/>
  <c r="DS104" i="1"/>
  <c r="DV104" i="1"/>
  <c r="DM104" i="1"/>
  <c r="DJ104" i="1"/>
  <c r="DA104" i="1"/>
  <c r="CY104" i="1" s="1"/>
  <c r="DD104" i="1"/>
  <c r="DG104" i="1"/>
  <c r="CX104" i="1"/>
  <c r="EQ84" i="1"/>
  <c r="ET84" i="1"/>
  <c r="EN84" i="1"/>
  <c r="EK84" i="1"/>
  <c r="EH84" i="1"/>
  <c r="EE84" i="1"/>
  <c r="EB84" i="1"/>
  <c r="DY84" i="1"/>
  <c r="DV84" i="1"/>
  <c r="DJ84" i="1"/>
  <c r="DS84" i="1"/>
  <c r="DP84" i="1"/>
  <c r="DD84" i="1"/>
  <c r="DM84" i="1"/>
  <c r="DK84" i="1" s="1"/>
  <c r="DA84" i="1"/>
  <c r="CY84" i="1" s="1"/>
  <c r="CX84" i="1"/>
  <c r="DG84" i="1"/>
  <c r="EQ60" i="1"/>
  <c r="ET60" i="1"/>
  <c r="EN60" i="1"/>
  <c r="EK60" i="1"/>
  <c r="EH60" i="1"/>
  <c r="EB60" i="1"/>
  <c r="DY60" i="1"/>
  <c r="EE60" i="1"/>
  <c r="DV60" i="1"/>
  <c r="DJ60" i="1"/>
  <c r="DP60" i="1"/>
  <c r="DS60" i="1"/>
  <c r="DM60" i="1"/>
  <c r="DK60" i="1" s="1"/>
  <c r="DG60" i="1"/>
  <c r="DD60" i="1"/>
  <c r="CX60" i="1"/>
  <c r="DA60" i="1"/>
  <c r="CY60" i="1" s="1"/>
  <c r="EQ36" i="1"/>
  <c r="ET36" i="1"/>
  <c r="EN36" i="1"/>
  <c r="EK36" i="1"/>
  <c r="EH36" i="1"/>
  <c r="EB36" i="1"/>
  <c r="DY36" i="1"/>
  <c r="DV36" i="1"/>
  <c r="DM36" i="1"/>
  <c r="DJ36" i="1"/>
  <c r="DS36" i="1"/>
  <c r="EE36" i="1"/>
  <c r="DP36" i="1"/>
  <c r="DG36" i="1"/>
  <c r="DD36" i="1"/>
  <c r="CX36" i="1"/>
  <c r="DA36" i="1"/>
  <c r="CY36" i="1" s="1"/>
  <c r="EQ8" i="1"/>
  <c r="ET8" i="1"/>
  <c r="EN8" i="1"/>
  <c r="EH8" i="1"/>
  <c r="EK8" i="1"/>
  <c r="EB8" i="1"/>
  <c r="EE8" i="1"/>
  <c r="DY8" i="1"/>
  <c r="DP8" i="1"/>
  <c r="DV8" i="1"/>
  <c r="DM8" i="1"/>
  <c r="DS8" i="1"/>
  <c r="DJ8" i="1"/>
  <c r="CX8" i="1"/>
  <c r="DG8" i="1"/>
  <c r="DA8" i="1"/>
  <c r="CY8" i="1" s="1"/>
  <c r="DD8" i="1"/>
  <c r="ES260" i="1"/>
  <c r="EG260" i="1"/>
  <c r="EJ260" i="1"/>
  <c r="EP260" i="1"/>
  <c r="EM260" i="1"/>
  <c r="DX260" i="1"/>
  <c r="DO260" i="1"/>
  <c r="DC260" i="1"/>
  <c r="DU260" i="1"/>
  <c r="DF260" i="1"/>
  <c r="DR260" i="1"/>
  <c r="DI260" i="1"/>
  <c r="ES236" i="1"/>
  <c r="EP236" i="1"/>
  <c r="EG236" i="1"/>
  <c r="EM236" i="1"/>
  <c r="EJ236" i="1"/>
  <c r="DU236" i="1"/>
  <c r="DO236" i="1"/>
  <c r="DC236" i="1"/>
  <c r="ED236" i="1"/>
  <c r="DR236" i="1"/>
  <c r="DF236" i="1"/>
  <c r="EA236" i="1"/>
  <c r="DI236" i="1"/>
  <c r="ES204" i="1"/>
  <c r="EP204" i="1"/>
  <c r="EG204" i="1"/>
  <c r="EM204" i="1"/>
  <c r="EJ204" i="1"/>
  <c r="DU204" i="1"/>
  <c r="DO204" i="1"/>
  <c r="DC204" i="1"/>
  <c r="ED204" i="1"/>
  <c r="DR204" i="1"/>
  <c r="DF204" i="1"/>
  <c r="EA204" i="1"/>
  <c r="DI204" i="1"/>
  <c r="ES172" i="1"/>
  <c r="EP172" i="1"/>
  <c r="EG172" i="1"/>
  <c r="EM172" i="1"/>
  <c r="EJ172" i="1"/>
  <c r="DU172" i="1"/>
  <c r="DO172" i="1"/>
  <c r="DC172" i="1"/>
  <c r="ED172" i="1"/>
  <c r="DR172" i="1"/>
  <c r="DF172" i="1"/>
  <c r="EA172" i="1"/>
  <c r="DI172" i="1"/>
  <c r="ES140" i="1"/>
  <c r="EP140" i="1"/>
  <c r="EG140" i="1"/>
  <c r="EJ140" i="1"/>
  <c r="EM140" i="1"/>
  <c r="DU140" i="1"/>
  <c r="DO140" i="1"/>
  <c r="DC140" i="1"/>
  <c r="ED140" i="1"/>
  <c r="DR140" i="1"/>
  <c r="DF140" i="1"/>
  <c r="EA140" i="1"/>
  <c r="DI140" i="1"/>
  <c r="EP116" i="1"/>
  <c r="ES116" i="1"/>
  <c r="EM116" i="1"/>
  <c r="EG116" i="1"/>
  <c r="EJ116" i="1"/>
  <c r="DR116" i="1"/>
  <c r="DO116" i="1"/>
  <c r="DC116" i="1"/>
  <c r="EA116" i="1"/>
  <c r="DF116" i="1"/>
  <c r="ED116" i="1"/>
  <c r="DX116" i="1"/>
  <c r="DI116" i="1"/>
  <c r="ES88" i="1"/>
  <c r="EJ88" i="1"/>
  <c r="EM88" i="1"/>
  <c r="EP88" i="1"/>
  <c r="ED88" i="1"/>
  <c r="EG88" i="1"/>
  <c r="DI88" i="1"/>
  <c r="DU88" i="1"/>
  <c r="DL88" i="1"/>
  <c r="EA88" i="1"/>
  <c r="DR88" i="1"/>
  <c r="DO88" i="1"/>
  <c r="DC88" i="1"/>
  <c r="EJ64" i="1"/>
  <c r="EP64" i="1"/>
  <c r="EM64" i="1"/>
  <c r="ED64" i="1"/>
  <c r="ES64" i="1"/>
  <c r="EG64" i="1"/>
  <c r="DU64" i="1"/>
  <c r="DI64" i="1"/>
  <c r="EA64" i="1"/>
  <c r="DR64" i="1"/>
  <c r="DL64" i="1"/>
  <c r="DX64" i="1"/>
  <c r="DO64" i="1"/>
  <c r="DC64" i="1"/>
  <c r="ES36" i="1"/>
  <c r="EM36" i="1"/>
  <c r="EG36" i="1"/>
  <c r="ED36" i="1"/>
  <c r="DX36" i="1"/>
  <c r="DO36" i="1"/>
  <c r="DC36" i="1"/>
  <c r="DU36" i="1"/>
  <c r="DF36" i="1"/>
  <c r="EJ36" i="1"/>
  <c r="DR36" i="1"/>
  <c r="DI36" i="1"/>
  <c r="ES4" i="1"/>
  <c r="EM4" i="1"/>
  <c r="EG4" i="1"/>
  <c r="EP4" i="1"/>
  <c r="EA4" i="1"/>
  <c r="ED4" i="1"/>
  <c r="DX4" i="1"/>
  <c r="DO4" i="1"/>
  <c r="DC4" i="1"/>
  <c r="DU4" i="1"/>
  <c r="DF4" i="1"/>
  <c r="DR4" i="1"/>
  <c r="DI4" i="1"/>
  <c r="ET270" i="1"/>
  <c r="EQ270" i="1"/>
  <c r="EK270" i="1"/>
  <c r="EN270" i="1"/>
  <c r="EE270" i="1"/>
  <c r="EH270" i="1"/>
  <c r="EB270" i="1"/>
  <c r="DS270" i="1"/>
  <c r="DY270" i="1"/>
  <c r="DP270" i="1"/>
  <c r="DM270" i="1"/>
  <c r="DV270" i="1"/>
  <c r="DJ270" i="1"/>
  <c r="DH270" i="1" s="1"/>
  <c r="DA270" i="1"/>
  <c r="CY270" i="1" s="1"/>
  <c r="DD270" i="1"/>
  <c r="DG270" i="1"/>
  <c r="CX270" i="1"/>
  <c r="ET266" i="1"/>
  <c r="EQ266" i="1"/>
  <c r="EK266" i="1"/>
  <c r="EE266" i="1"/>
  <c r="EN266" i="1"/>
  <c r="EB266" i="1"/>
  <c r="EH266" i="1"/>
  <c r="DY266" i="1"/>
  <c r="DM266" i="1"/>
  <c r="DS266" i="1"/>
  <c r="DV266" i="1"/>
  <c r="DP266" i="1"/>
  <c r="DG266" i="1"/>
  <c r="DA266" i="1"/>
  <c r="CY266" i="1" s="1"/>
  <c r="CX266" i="1"/>
  <c r="ET262" i="1"/>
  <c r="EQ262" i="1"/>
  <c r="EH262" i="1"/>
  <c r="EN262" i="1"/>
  <c r="EK262" i="1"/>
  <c r="EE262" i="1"/>
  <c r="EB262" i="1"/>
  <c r="DS262" i="1"/>
  <c r="DM262" i="1"/>
  <c r="DY262" i="1"/>
  <c r="DV262" i="1"/>
  <c r="DA262" i="1"/>
  <c r="CY262" i="1" s="1"/>
  <c r="DJ262" i="1"/>
  <c r="DD262" i="1"/>
  <c r="DG262" i="1"/>
  <c r="CX262" i="1"/>
  <c r="CV262" i="1" s="1"/>
  <c r="DP262" i="1"/>
  <c r="ET258" i="1"/>
  <c r="EQ258" i="1"/>
  <c r="EN258" i="1"/>
  <c r="EH258" i="1"/>
  <c r="EE258" i="1"/>
  <c r="EK258" i="1"/>
  <c r="EB258" i="1"/>
  <c r="DY258" i="1"/>
  <c r="DM258" i="1"/>
  <c r="DV258" i="1"/>
  <c r="DJ258" i="1"/>
  <c r="DG258" i="1"/>
  <c r="DS258" i="1"/>
  <c r="DP258" i="1"/>
  <c r="DD258" i="1"/>
  <c r="CX258" i="1"/>
  <c r="CV258" i="1" s="1"/>
  <c r="DA258" i="1"/>
  <c r="CY258" i="1" s="1"/>
  <c r="ET254" i="1"/>
  <c r="EN254" i="1"/>
  <c r="EQ254" i="1"/>
  <c r="EH254" i="1"/>
  <c r="EK254" i="1"/>
  <c r="EE254" i="1"/>
  <c r="EB254" i="1"/>
  <c r="DS254" i="1"/>
  <c r="DV254" i="1"/>
  <c r="DY254" i="1"/>
  <c r="DP254" i="1"/>
  <c r="DM254" i="1"/>
  <c r="DJ254" i="1"/>
  <c r="DA254" i="1"/>
  <c r="CY254" i="1" s="1"/>
  <c r="CX254" i="1"/>
  <c r="DG254" i="1"/>
  <c r="DD254" i="1"/>
  <c r="ET250" i="1"/>
  <c r="EQ250" i="1"/>
  <c r="EN250" i="1"/>
  <c r="EH250" i="1"/>
  <c r="EK250" i="1"/>
  <c r="EE250" i="1"/>
  <c r="EB250" i="1"/>
  <c r="DY250" i="1"/>
  <c r="DM250" i="1"/>
  <c r="DS250" i="1"/>
  <c r="DV250" i="1"/>
  <c r="DP250" i="1"/>
  <c r="DG250" i="1"/>
  <c r="DA250" i="1"/>
  <c r="CY250" i="1" s="1"/>
  <c r="DJ250" i="1"/>
  <c r="CX250" i="1"/>
  <c r="DD250" i="1"/>
  <c r="ET246" i="1"/>
  <c r="EN246" i="1"/>
  <c r="EQ246" i="1"/>
  <c r="EH246" i="1"/>
  <c r="EK246" i="1"/>
  <c r="EE246" i="1"/>
  <c r="EB246" i="1"/>
  <c r="DS246" i="1"/>
  <c r="DV246" i="1"/>
  <c r="DP246" i="1"/>
  <c r="DM246" i="1"/>
  <c r="DY246" i="1"/>
  <c r="DA246" i="1"/>
  <c r="CY246" i="1" s="1"/>
  <c r="DJ246" i="1"/>
  <c r="DD246" i="1"/>
  <c r="DG246" i="1"/>
  <c r="CX246" i="1"/>
  <c r="CV246" i="1" s="1"/>
  <c r="ET242" i="1"/>
  <c r="EQ242" i="1"/>
  <c r="EN242" i="1"/>
  <c r="EK242" i="1"/>
  <c r="EH242" i="1"/>
  <c r="EE242" i="1"/>
  <c r="EB242" i="1"/>
  <c r="DY242" i="1"/>
  <c r="DP242" i="1"/>
  <c r="DM242" i="1"/>
  <c r="DV242" i="1"/>
  <c r="DS242" i="1"/>
  <c r="DJ242" i="1"/>
  <c r="DG242" i="1"/>
  <c r="DA242" i="1"/>
  <c r="CY242" i="1" s="1"/>
  <c r="CX242" i="1"/>
  <c r="DD242" i="1"/>
  <c r="DB242" i="1" s="1"/>
  <c r="ET238" i="1"/>
  <c r="EN238" i="1"/>
  <c r="EQ238" i="1"/>
  <c r="EH238" i="1"/>
  <c r="EK238" i="1"/>
  <c r="EE238" i="1"/>
  <c r="EB238" i="1"/>
  <c r="DY238" i="1"/>
  <c r="DS238" i="1"/>
  <c r="DM238" i="1"/>
  <c r="DV238" i="1"/>
  <c r="DP238" i="1"/>
  <c r="DJ238" i="1"/>
  <c r="DH238" i="1" s="1"/>
  <c r="DA238" i="1"/>
  <c r="CY238" i="1" s="1"/>
  <c r="DG238" i="1"/>
  <c r="DD238" i="1"/>
  <c r="CX238" i="1"/>
  <c r="ET234" i="1"/>
  <c r="EQ234" i="1"/>
  <c r="EN234" i="1"/>
  <c r="EE234" i="1"/>
  <c r="EB234" i="1"/>
  <c r="EK234" i="1"/>
  <c r="DY234" i="1"/>
  <c r="DM234" i="1"/>
  <c r="EH234" i="1"/>
  <c r="DP234" i="1"/>
  <c r="DV234" i="1"/>
  <c r="DS234" i="1"/>
  <c r="DG234" i="1"/>
  <c r="DA234" i="1"/>
  <c r="CY234" i="1" s="1"/>
  <c r="DJ234" i="1"/>
  <c r="DD234" i="1"/>
  <c r="ET230" i="1"/>
  <c r="EN230" i="1"/>
  <c r="EQ230" i="1"/>
  <c r="EH230" i="1"/>
  <c r="EK230" i="1"/>
  <c r="EE230" i="1"/>
  <c r="EB230" i="1"/>
  <c r="DY230" i="1"/>
  <c r="DS230" i="1"/>
  <c r="DM230" i="1"/>
  <c r="DP230" i="1"/>
  <c r="DA230" i="1"/>
  <c r="CY230" i="1" s="1"/>
  <c r="DV230" i="1"/>
  <c r="DJ230" i="1"/>
  <c r="DD230" i="1"/>
  <c r="DG230" i="1"/>
  <c r="CX230" i="1"/>
  <c r="CV230" i="1" s="1"/>
  <c r="ET226" i="1"/>
  <c r="EQ226" i="1"/>
  <c r="EN226" i="1"/>
  <c r="EH226" i="1"/>
  <c r="EK226" i="1"/>
  <c r="EE226" i="1"/>
  <c r="EB226" i="1"/>
  <c r="DM226" i="1"/>
  <c r="DY226" i="1"/>
  <c r="DV226" i="1"/>
  <c r="DS226" i="1"/>
  <c r="DP226" i="1"/>
  <c r="DJ226" i="1"/>
  <c r="DG226" i="1"/>
  <c r="DD226" i="1"/>
  <c r="DA226" i="1"/>
  <c r="CY226" i="1" s="1"/>
  <c r="CX226" i="1"/>
  <c r="ET222" i="1"/>
  <c r="EN222" i="1"/>
  <c r="EQ222" i="1"/>
  <c r="EH222" i="1"/>
  <c r="EK222" i="1"/>
  <c r="EE222" i="1"/>
  <c r="EB222" i="1"/>
  <c r="DY222" i="1"/>
  <c r="DS222" i="1"/>
  <c r="DV222" i="1"/>
  <c r="DM222" i="1"/>
  <c r="DJ222" i="1"/>
  <c r="DP222" i="1"/>
  <c r="DA222" i="1"/>
  <c r="CY222" i="1" s="1"/>
  <c r="CX222" i="1"/>
  <c r="CV222" i="1" s="1"/>
  <c r="DG222" i="1"/>
  <c r="DD222" i="1"/>
  <c r="ET218" i="1"/>
  <c r="EQ218" i="1"/>
  <c r="EN218" i="1"/>
  <c r="EK218" i="1"/>
  <c r="EH218" i="1"/>
  <c r="EE218" i="1"/>
  <c r="EB218" i="1"/>
  <c r="DM218" i="1"/>
  <c r="DS218" i="1"/>
  <c r="DY218" i="1"/>
  <c r="DP218" i="1"/>
  <c r="DV218" i="1"/>
  <c r="DG218" i="1"/>
  <c r="DA218" i="1"/>
  <c r="CY218" i="1" s="1"/>
  <c r="CX218" i="1"/>
  <c r="DJ218" i="1"/>
  <c r="DD218" i="1"/>
  <c r="DB218" i="1" s="1"/>
  <c r="ET214" i="1"/>
  <c r="EN214" i="1"/>
  <c r="EQ214" i="1"/>
  <c r="EH214" i="1"/>
  <c r="EK214" i="1"/>
  <c r="EE214" i="1"/>
  <c r="EB214" i="1"/>
  <c r="DS214" i="1"/>
  <c r="DY214" i="1"/>
  <c r="DP214" i="1"/>
  <c r="DV214" i="1"/>
  <c r="DM214" i="1"/>
  <c r="DA214" i="1"/>
  <c r="CY214" i="1" s="1"/>
  <c r="DJ214" i="1"/>
  <c r="DD214" i="1"/>
  <c r="DG214" i="1"/>
  <c r="CX214" i="1"/>
  <c r="CV214" i="1" s="1"/>
  <c r="ET210" i="1"/>
  <c r="EQ210" i="1"/>
  <c r="EN210" i="1"/>
  <c r="EK210" i="1"/>
  <c r="EH210" i="1"/>
  <c r="EE210" i="1"/>
  <c r="EB210" i="1"/>
  <c r="DM210" i="1"/>
  <c r="DV210" i="1"/>
  <c r="DS210" i="1"/>
  <c r="DP210" i="1"/>
  <c r="DJ210" i="1"/>
  <c r="DG210" i="1"/>
  <c r="DY210" i="1"/>
  <c r="DA210" i="1"/>
  <c r="CY210" i="1" s="1"/>
  <c r="DD210" i="1"/>
  <c r="DB210" i="1" s="1"/>
  <c r="CX210" i="1"/>
  <c r="ET206" i="1"/>
  <c r="EN206" i="1"/>
  <c r="EQ206" i="1"/>
  <c r="EH206" i="1"/>
  <c r="EK206" i="1"/>
  <c r="EE206" i="1"/>
  <c r="EB206" i="1"/>
  <c r="DS206" i="1"/>
  <c r="DP206" i="1"/>
  <c r="DY206" i="1"/>
  <c r="DV206" i="1"/>
  <c r="DM206" i="1"/>
  <c r="DJ206" i="1"/>
  <c r="DH206" i="1" s="1"/>
  <c r="DA206" i="1"/>
  <c r="CY206" i="1" s="1"/>
  <c r="DD206" i="1"/>
  <c r="DG206" i="1"/>
  <c r="CX206" i="1"/>
  <c r="ET202" i="1"/>
  <c r="EQ202" i="1"/>
  <c r="EN202" i="1"/>
  <c r="EK202" i="1"/>
  <c r="EE202" i="1"/>
  <c r="EB202" i="1"/>
  <c r="DY202" i="1"/>
  <c r="DM202" i="1"/>
  <c r="EH202" i="1"/>
  <c r="DV202" i="1"/>
  <c r="DS202" i="1"/>
  <c r="DP202" i="1"/>
  <c r="DG202" i="1"/>
  <c r="DA202" i="1"/>
  <c r="CY202" i="1" s="1"/>
  <c r="DJ202" i="1"/>
  <c r="DD202" i="1"/>
  <c r="CX202" i="1"/>
  <c r="ET198" i="1"/>
  <c r="EN198" i="1"/>
  <c r="EQ198" i="1"/>
  <c r="EH198" i="1"/>
  <c r="EK198" i="1"/>
  <c r="EE198" i="1"/>
  <c r="EB198" i="1"/>
  <c r="DS198" i="1"/>
  <c r="DY198" i="1"/>
  <c r="DP198" i="1"/>
  <c r="DA198" i="1"/>
  <c r="CY198" i="1" s="1"/>
  <c r="DJ198" i="1"/>
  <c r="DD198" i="1"/>
  <c r="DG198" i="1"/>
  <c r="CX198" i="1"/>
  <c r="DV198" i="1"/>
  <c r="ET194" i="1"/>
  <c r="EQ194" i="1"/>
  <c r="EN194" i="1"/>
  <c r="EH194" i="1"/>
  <c r="EE194" i="1"/>
  <c r="DY194" i="1"/>
  <c r="EB194" i="1"/>
  <c r="EK194" i="1"/>
  <c r="DM194" i="1"/>
  <c r="DV194" i="1"/>
  <c r="DP194" i="1"/>
  <c r="DS194" i="1"/>
  <c r="DJ194" i="1"/>
  <c r="DG194" i="1"/>
  <c r="DD194" i="1"/>
  <c r="CX194" i="1"/>
  <c r="DA194" i="1"/>
  <c r="CY194" i="1" s="1"/>
  <c r="ET190" i="1"/>
  <c r="EN190" i="1"/>
  <c r="EQ190" i="1"/>
  <c r="EH190" i="1"/>
  <c r="EK190" i="1"/>
  <c r="EE190" i="1"/>
  <c r="EB190" i="1"/>
  <c r="DY190" i="1"/>
  <c r="DS190" i="1"/>
  <c r="DV190" i="1"/>
  <c r="DP190" i="1"/>
  <c r="DJ190" i="1"/>
  <c r="DM190" i="1"/>
  <c r="DA190" i="1"/>
  <c r="CY190" i="1" s="1"/>
  <c r="CX190" i="1"/>
  <c r="CV190" i="1" s="1"/>
  <c r="DD190" i="1"/>
  <c r="ET186" i="1"/>
  <c r="EQ186" i="1"/>
  <c r="EN186" i="1"/>
  <c r="EH186" i="1"/>
  <c r="EK186" i="1"/>
  <c r="EE186" i="1"/>
  <c r="DY186" i="1"/>
  <c r="EB186" i="1"/>
  <c r="DV186" i="1"/>
  <c r="DM186" i="1"/>
  <c r="DS186" i="1"/>
  <c r="DG186" i="1"/>
  <c r="DA186" i="1"/>
  <c r="CY186" i="1" s="1"/>
  <c r="DP186" i="1"/>
  <c r="CX186" i="1"/>
  <c r="DD186" i="1"/>
  <c r="DB186" i="1" s="1"/>
  <c r="DJ186" i="1"/>
  <c r="ET182" i="1"/>
  <c r="EN182" i="1"/>
  <c r="EQ182" i="1"/>
  <c r="EH182" i="1"/>
  <c r="EK182" i="1"/>
  <c r="EE182" i="1"/>
  <c r="EB182" i="1"/>
  <c r="DS182" i="1"/>
  <c r="DM182" i="1"/>
  <c r="DV182" i="1"/>
  <c r="DP182" i="1"/>
  <c r="DY182" i="1"/>
  <c r="DA182" i="1"/>
  <c r="CY182" i="1" s="1"/>
  <c r="DJ182" i="1"/>
  <c r="DD182" i="1"/>
  <c r="DG182" i="1"/>
  <c r="CX182" i="1"/>
  <c r="CV182" i="1" s="1"/>
  <c r="ET178" i="1"/>
  <c r="EQ178" i="1"/>
  <c r="EN178" i="1"/>
  <c r="EK178" i="1"/>
  <c r="EH178" i="1"/>
  <c r="EE178" i="1"/>
  <c r="DY178" i="1"/>
  <c r="EB178" i="1"/>
  <c r="DV178" i="1"/>
  <c r="DM178" i="1"/>
  <c r="DP178" i="1"/>
  <c r="DS178" i="1"/>
  <c r="DJ178" i="1"/>
  <c r="DG178" i="1"/>
  <c r="DA178" i="1"/>
  <c r="CY178" i="1" s="1"/>
  <c r="CX178" i="1"/>
  <c r="DD178" i="1"/>
  <c r="DB178" i="1" s="1"/>
  <c r="ET174" i="1"/>
  <c r="EN174" i="1"/>
  <c r="EQ174" i="1"/>
  <c r="EH174" i="1"/>
  <c r="EK174" i="1"/>
  <c r="EE174" i="1"/>
  <c r="EB174" i="1"/>
  <c r="DY174" i="1"/>
  <c r="DS174" i="1"/>
  <c r="DM174" i="1"/>
  <c r="DP174" i="1"/>
  <c r="DJ174" i="1"/>
  <c r="DH174" i="1" s="1"/>
  <c r="DV174" i="1"/>
  <c r="DA174" i="1"/>
  <c r="CY174" i="1" s="1"/>
  <c r="DG174" i="1"/>
  <c r="DD174" i="1"/>
  <c r="CX174" i="1"/>
  <c r="ET170" i="1"/>
  <c r="EQ170" i="1"/>
  <c r="EN170" i="1"/>
  <c r="EE170" i="1"/>
  <c r="EK170" i="1"/>
  <c r="EH170" i="1"/>
  <c r="DY170" i="1"/>
  <c r="EB170" i="1"/>
  <c r="DV170" i="1"/>
  <c r="DM170" i="1"/>
  <c r="DP170" i="1"/>
  <c r="DS170" i="1"/>
  <c r="DG170" i="1"/>
  <c r="DA170" i="1"/>
  <c r="CY170" i="1" s="1"/>
  <c r="DD170" i="1"/>
  <c r="DJ170" i="1"/>
  <c r="CX170" i="1"/>
  <c r="ET166" i="1"/>
  <c r="EN166" i="1"/>
  <c r="EQ166" i="1"/>
  <c r="EH166" i="1"/>
  <c r="EK166" i="1"/>
  <c r="EE166" i="1"/>
  <c r="EB166" i="1"/>
  <c r="DS166" i="1"/>
  <c r="DY166" i="1"/>
  <c r="DV166" i="1"/>
  <c r="DM166" i="1"/>
  <c r="DA166" i="1"/>
  <c r="CY166" i="1" s="1"/>
  <c r="DJ166" i="1"/>
  <c r="DD166" i="1"/>
  <c r="DG166" i="1"/>
  <c r="CX166" i="1"/>
  <c r="CV166" i="1" s="1"/>
  <c r="DP166" i="1"/>
  <c r="ET162" i="1"/>
  <c r="EQ162" i="1"/>
  <c r="EN162" i="1"/>
  <c r="EH162" i="1"/>
  <c r="EK162" i="1"/>
  <c r="EE162" i="1"/>
  <c r="DY162" i="1"/>
  <c r="EB162" i="1"/>
  <c r="DV162" i="1"/>
  <c r="DM162" i="1"/>
  <c r="DS162" i="1"/>
  <c r="DJ162" i="1"/>
  <c r="DG162" i="1"/>
  <c r="DP162" i="1"/>
  <c r="DD162" i="1"/>
  <c r="CX162" i="1"/>
  <c r="CV162" i="1" s="1"/>
  <c r="ET158" i="1"/>
  <c r="EN158" i="1"/>
  <c r="EQ158" i="1"/>
  <c r="EH158" i="1"/>
  <c r="EK158" i="1"/>
  <c r="EE158" i="1"/>
  <c r="EB158" i="1"/>
  <c r="DY158" i="1"/>
  <c r="DS158" i="1"/>
  <c r="DV158" i="1"/>
  <c r="DJ158" i="1"/>
  <c r="DA158" i="1"/>
  <c r="CY158" i="1" s="1"/>
  <c r="DP158" i="1"/>
  <c r="DM158" i="1"/>
  <c r="CX158" i="1"/>
  <c r="CV158" i="1" s="1"/>
  <c r="DG158" i="1"/>
  <c r="DD158" i="1"/>
  <c r="ET154" i="1"/>
  <c r="EQ154" i="1"/>
  <c r="EN154" i="1"/>
  <c r="EK154" i="1"/>
  <c r="EH154" i="1"/>
  <c r="EE154" i="1"/>
  <c r="DY154" i="1"/>
  <c r="DV154" i="1"/>
  <c r="EB154" i="1"/>
  <c r="DM154" i="1"/>
  <c r="DS154" i="1"/>
  <c r="DP154" i="1"/>
  <c r="DG154" i="1"/>
  <c r="DA154" i="1"/>
  <c r="CY154" i="1" s="1"/>
  <c r="CX154" i="1"/>
  <c r="DD154" i="1"/>
  <c r="DJ154" i="1"/>
  <c r="ET150" i="1"/>
  <c r="EN150" i="1"/>
  <c r="EQ150" i="1"/>
  <c r="EH150" i="1"/>
  <c r="EK150" i="1"/>
  <c r="EE150" i="1"/>
  <c r="EB150" i="1"/>
  <c r="DS150" i="1"/>
  <c r="DV150" i="1"/>
  <c r="DP150" i="1"/>
  <c r="DM150" i="1"/>
  <c r="DY150" i="1"/>
  <c r="DA150" i="1"/>
  <c r="CY150" i="1" s="1"/>
  <c r="DJ150" i="1"/>
  <c r="DD150" i="1"/>
  <c r="DG150" i="1"/>
  <c r="ET146" i="1"/>
  <c r="EQ146" i="1"/>
  <c r="EN146" i="1"/>
  <c r="EK146" i="1"/>
  <c r="EH146" i="1"/>
  <c r="EE146" i="1"/>
  <c r="EB146" i="1"/>
  <c r="DY146" i="1"/>
  <c r="DV146" i="1"/>
  <c r="DM146" i="1"/>
  <c r="DS146" i="1"/>
  <c r="DP146" i="1"/>
  <c r="DJ146" i="1"/>
  <c r="DG146" i="1"/>
  <c r="DA146" i="1"/>
  <c r="CY146" i="1" s="1"/>
  <c r="DD146" i="1"/>
  <c r="CX146" i="1"/>
  <c r="ET142" i="1"/>
  <c r="EN142" i="1"/>
  <c r="EH142" i="1"/>
  <c r="EK142" i="1"/>
  <c r="EQ142" i="1"/>
  <c r="EE142" i="1"/>
  <c r="DY142" i="1"/>
  <c r="DS142" i="1"/>
  <c r="EB142" i="1"/>
  <c r="DP142" i="1"/>
  <c r="DV142" i="1"/>
  <c r="DM142" i="1"/>
  <c r="DJ142" i="1"/>
  <c r="DH142" i="1" s="1"/>
  <c r="DA142" i="1"/>
  <c r="CY142" i="1" s="1"/>
  <c r="DD142" i="1"/>
  <c r="DG142" i="1"/>
  <c r="CX142" i="1"/>
  <c r="ET138" i="1"/>
  <c r="EQ138" i="1"/>
  <c r="EN138" i="1"/>
  <c r="EK138" i="1"/>
  <c r="EE138" i="1"/>
  <c r="EB138" i="1"/>
  <c r="DY138" i="1"/>
  <c r="DV138" i="1"/>
  <c r="DM138" i="1"/>
  <c r="DS138" i="1"/>
  <c r="DP138" i="1"/>
  <c r="EH138" i="1"/>
  <c r="DG138" i="1"/>
  <c r="DA138" i="1"/>
  <c r="CY138" i="1" s="1"/>
  <c r="DJ138" i="1"/>
  <c r="CX138" i="1"/>
  <c r="DD138" i="1"/>
  <c r="ET134" i="1"/>
  <c r="EN134" i="1"/>
  <c r="EH134" i="1"/>
  <c r="EK134" i="1"/>
  <c r="EQ134" i="1"/>
  <c r="EE134" i="1"/>
  <c r="DS134" i="1"/>
  <c r="EB134" i="1"/>
  <c r="DY134" i="1"/>
  <c r="DM134" i="1"/>
  <c r="DV134" i="1"/>
  <c r="DA134" i="1"/>
  <c r="CY134" i="1" s="1"/>
  <c r="DP134" i="1"/>
  <c r="DJ134" i="1"/>
  <c r="DD134" i="1"/>
  <c r="DG134" i="1"/>
  <c r="CX134" i="1"/>
  <c r="CV134" i="1" s="1"/>
  <c r="ET130" i="1"/>
  <c r="EN130" i="1"/>
  <c r="EQ130" i="1"/>
  <c r="EH130" i="1"/>
  <c r="EE130" i="1"/>
  <c r="DY130" i="1"/>
  <c r="EB130" i="1"/>
  <c r="DV130" i="1"/>
  <c r="DM130" i="1"/>
  <c r="EK130" i="1"/>
  <c r="DP130" i="1"/>
  <c r="DJ130" i="1"/>
  <c r="DG130" i="1"/>
  <c r="DS130" i="1"/>
  <c r="DD130" i="1"/>
  <c r="CX130" i="1"/>
  <c r="CV130" i="1" s="1"/>
  <c r="DA130" i="1"/>
  <c r="CY130" i="1" s="1"/>
  <c r="ET126" i="1"/>
  <c r="EN126" i="1"/>
  <c r="EH126" i="1"/>
  <c r="EQ126" i="1"/>
  <c r="EK126" i="1"/>
  <c r="EE126" i="1"/>
  <c r="EB126" i="1"/>
  <c r="DY126" i="1"/>
  <c r="DS126" i="1"/>
  <c r="DV126" i="1"/>
  <c r="DP126" i="1"/>
  <c r="DJ126" i="1"/>
  <c r="DA126" i="1"/>
  <c r="CY126" i="1" s="1"/>
  <c r="DM126" i="1"/>
  <c r="CX126" i="1"/>
  <c r="DG126" i="1"/>
  <c r="DD126" i="1"/>
  <c r="ET122" i="1"/>
  <c r="EQ122" i="1"/>
  <c r="EN122" i="1"/>
  <c r="EH122" i="1"/>
  <c r="EK122" i="1"/>
  <c r="EE122" i="1"/>
  <c r="DY122" i="1"/>
  <c r="DV122" i="1"/>
  <c r="DM122" i="1"/>
  <c r="DS122" i="1"/>
  <c r="DP122" i="1"/>
  <c r="DG122" i="1"/>
  <c r="EB122" i="1"/>
  <c r="DA122" i="1"/>
  <c r="CY122" i="1" s="1"/>
  <c r="DJ122" i="1"/>
  <c r="CX122" i="1"/>
  <c r="DD122" i="1"/>
  <c r="ET118" i="1"/>
  <c r="EQ118" i="1"/>
  <c r="EN118" i="1"/>
  <c r="EH118" i="1"/>
  <c r="EK118" i="1"/>
  <c r="EE118" i="1"/>
  <c r="DS118" i="1"/>
  <c r="DM118" i="1"/>
  <c r="EB118" i="1"/>
  <c r="DV118" i="1"/>
  <c r="DP118" i="1"/>
  <c r="DA118" i="1"/>
  <c r="CY118" i="1" s="1"/>
  <c r="DJ118" i="1"/>
  <c r="DD118" i="1"/>
  <c r="DY118" i="1"/>
  <c r="DG118" i="1"/>
  <c r="CX118" i="1"/>
  <c r="CV118" i="1" s="1"/>
  <c r="ET114" i="1"/>
  <c r="EN114" i="1"/>
  <c r="EQ114" i="1"/>
  <c r="EK114" i="1"/>
  <c r="EH114" i="1"/>
  <c r="EE114" i="1"/>
  <c r="EB114" i="1"/>
  <c r="DY114" i="1"/>
  <c r="DV114" i="1"/>
  <c r="DM114" i="1"/>
  <c r="DP114" i="1"/>
  <c r="DS114" i="1"/>
  <c r="DJ114" i="1"/>
  <c r="DG114" i="1"/>
  <c r="DA114" i="1"/>
  <c r="CY114" i="1" s="1"/>
  <c r="CX114" i="1"/>
  <c r="DD114" i="1"/>
  <c r="DB114" i="1" s="1"/>
  <c r="ET110" i="1"/>
  <c r="EN110" i="1"/>
  <c r="EH110" i="1"/>
  <c r="EQ110" i="1"/>
  <c r="EK110" i="1"/>
  <c r="EE110" i="1"/>
  <c r="EB110" i="1"/>
  <c r="DY110" i="1"/>
  <c r="DS110" i="1"/>
  <c r="DM110" i="1"/>
  <c r="DP110" i="1"/>
  <c r="DV110" i="1"/>
  <c r="DJ110" i="1"/>
  <c r="DH110" i="1" s="1"/>
  <c r="DA110" i="1"/>
  <c r="CY110" i="1" s="1"/>
  <c r="DG110" i="1"/>
  <c r="DD110" i="1"/>
  <c r="CX110" i="1"/>
  <c r="ET106" i="1"/>
  <c r="EQ106" i="1"/>
  <c r="EN106" i="1"/>
  <c r="EH106" i="1"/>
  <c r="EE106" i="1"/>
  <c r="EK106" i="1"/>
  <c r="EB106" i="1"/>
  <c r="DY106" i="1"/>
  <c r="DV106" i="1"/>
  <c r="DM106" i="1"/>
  <c r="DP106" i="1"/>
  <c r="DS106" i="1"/>
  <c r="DG106" i="1"/>
  <c r="DA106" i="1"/>
  <c r="CY106" i="1" s="1"/>
  <c r="DJ106" i="1"/>
  <c r="DD106" i="1"/>
  <c r="CX106" i="1"/>
  <c r="ET102" i="1"/>
  <c r="EN102" i="1"/>
  <c r="EH102" i="1"/>
  <c r="EK102" i="1"/>
  <c r="EE102" i="1"/>
  <c r="EQ102" i="1"/>
  <c r="DS102" i="1"/>
  <c r="DY102" i="1"/>
  <c r="DV102" i="1"/>
  <c r="EB102" i="1"/>
  <c r="DP102" i="1"/>
  <c r="DA102" i="1"/>
  <c r="CY102" i="1" s="1"/>
  <c r="DM102" i="1"/>
  <c r="DJ102" i="1"/>
  <c r="DD102" i="1"/>
  <c r="DG102" i="1"/>
  <c r="CX102" i="1"/>
  <c r="CV102" i="1" s="1"/>
  <c r="ET98" i="1"/>
  <c r="EQ98" i="1"/>
  <c r="EN98" i="1"/>
  <c r="EH98" i="1"/>
  <c r="EK98" i="1"/>
  <c r="EE98" i="1"/>
  <c r="DY98" i="1"/>
  <c r="EB98" i="1"/>
  <c r="DV98" i="1"/>
  <c r="DM98" i="1"/>
  <c r="DP98" i="1"/>
  <c r="DJ98" i="1"/>
  <c r="DG98" i="1"/>
  <c r="CX98" i="1"/>
  <c r="DD98" i="1"/>
  <c r="DA98" i="1"/>
  <c r="CY98" i="1" s="1"/>
  <c r="DS98" i="1"/>
  <c r="ET94" i="1"/>
  <c r="EN94" i="1"/>
  <c r="EH94" i="1"/>
  <c r="EK94" i="1"/>
  <c r="EQ94" i="1"/>
  <c r="EE94" i="1"/>
  <c r="EB94" i="1"/>
  <c r="DY94" i="1"/>
  <c r="DS94" i="1"/>
  <c r="DV94" i="1"/>
  <c r="DP94" i="1"/>
  <c r="DJ94" i="1"/>
  <c r="DA94" i="1"/>
  <c r="CY94" i="1" s="1"/>
  <c r="CX94" i="1"/>
  <c r="CV94" i="1" s="1"/>
  <c r="DG94" i="1"/>
  <c r="DM94" i="1"/>
  <c r="ET90" i="1"/>
  <c r="EQ90" i="1"/>
  <c r="EN90" i="1"/>
  <c r="EH90" i="1"/>
  <c r="EK90" i="1"/>
  <c r="EE90" i="1"/>
  <c r="DY90" i="1"/>
  <c r="DV90" i="1"/>
  <c r="EB90" i="1"/>
  <c r="DM90" i="1"/>
  <c r="DS90" i="1"/>
  <c r="DP90" i="1"/>
  <c r="DG90" i="1"/>
  <c r="DA90" i="1"/>
  <c r="CY90" i="1" s="1"/>
  <c r="CX90" i="1"/>
  <c r="DJ90" i="1"/>
  <c r="DD90" i="1"/>
  <c r="DB90" i="1" s="1"/>
  <c r="EQ86" i="1"/>
  <c r="ET86" i="1"/>
  <c r="EN86" i="1"/>
  <c r="EH86" i="1"/>
  <c r="EK86" i="1"/>
  <c r="EE86" i="1"/>
  <c r="EB86" i="1"/>
  <c r="DS86" i="1"/>
  <c r="DV86" i="1"/>
  <c r="DP86" i="1"/>
  <c r="DM86" i="1"/>
  <c r="DG86" i="1"/>
  <c r="DY86" i="1"/>
  <c r="DA86" i="1"/>
  <c r="CY86" i="1" s="1"/>
  <c r="DJ86" i="1"/>
  <c r="DD86" i="1"/>
  <c r="CX86" i="1"/>
  <c r="CV86" i="1" s="1"/>
  <c r="ET82" i="1"/>
  <c r="EQ82" i="1"/>
  <c r="EN82" i="1"/>
  <c r="EH82" i="1"/>
  <c r="EK82" i="1"/>
  <c r="EE82" i="1"/>
  <c r="EB82" i="1"/>
  <c r="DY82" i="1"/>
  <c r="DV82" i="1"/>
  <c r="DM82" i="1"/>
  <c r="DS82" i="1"/>
  <c r="DP82" i="1"/>
  <c r="DJ82" i="1"/>
  <c r="DG82" i="1"/>
  <c r="DA82" i="1"/>
  <c r="CY82" i="1" s="1"/>
  <c r="CX82" i="1"/>
  <c r="DD82" i="1"/>
  <c r="DB82" i="1" s="1"/>
  <c r="EQ78" i="1"/>
  <c r="ET78" i="1"/>
  <c r="EN78" i="1"/>
  <c r="EH78" i="1"/>
  <c r="EK78" i="1"/>
  <c r="EE78" i="1"/>
  <c r="DY78" i="1"/>
  <c r="DS78" i="1"/>
  <c r="DP78" i="1"/>
  <c r="DV78" i="1"/>
  <c r="DM78" i="1"/>
  <c r="DJ78" i="1"/>
  <c r="DH78" i="1" s="1"/>
  <c r="DA78" i="1"/>
  <c r="CY78" i="1" s="1"/>
  <c r="EB78" i="1"/>
  <c r="DD78" i="1"/>
  <c r="DG78" i="1"/>
  <c r="CX78" i="1"/>
  <c r="ET74" i="1"/>
  <c r="EQ74" i="1"/>
  <c r="EN74" i="1"/>
  <c r="EH74" i="1"/>
  <c r="EK74" i="1"/>
  <c r="EE74" i="1"/>
  <c r="EB74" i="1"/>
  <c r="DY74" i="1"/>
  <c r="DV74" i="1"/>
  <c r="DM74" i="1"/>
  <c r="DS74" i="1"/>
  <c r="DP74" i="1"/>
  <c r="DA74" i="1"/>
  <c r="CY74" i="1" s="1"/>
  <c r="CX74" i="1"/>
  <c r="DG74" i="1"/>
  <c r="DD74" i="1"/>
  <c r="DJ74" i="1"/>
  <c r="EQ70" i="1"/>
  <c r="ET70" i="1"/>
  <c r="EN70" i="1"/>
  <c r="EH70" i="1"/>
  <c r="EK70" i="1"/>
  <c r="EE70" i="1"/>
  <c r="DS70" i="1"/>
  <c r="EB70" i="1"/>
  <c r="DV70" i="1"/>
  <c r="DY70" i="1"/>
  <c r="DP70" i="1"/>
  <c r="DG70" i="1"/>
  <c r="DA70" i="1"/>
  <c r="CY70" i="1" s="1"/>
  <c r="DJ70" i="1"/>
  <c r="DD70" i="1"/>
  <c r="DM70" i="1"/>
  <c r="CX70" i="1"/>
  <c r="ET66" i="1"/>
  <c r="EQ66" i="1"/>
  <c r="EN66" i="1"/>
  <c r="EH66" i="1"/>
  <c r="EE66" i="1"/>
  <c r="DY66" i="1"/>
  <c r="EB66" i="1"/>
  <c r="DV66" i="1"/>
  <c r="DM66" i="1"/>
  <c r="EK66" i="1"/>
  <c r="DG66" i="1"/>
  <c r="DS66" i="1"/>
  <c r="DJ66" i="1"/>
  <c r="CX66" i="1"/>
  <c r="DP66" i="1"/>
  <c r="DD66" i="1"/>
  <c r="DA66" i="1"/>
  <c r="CY66" i="1" s="1"/>
  <c r="EQ62" i="1"/>
  <c r="ET62" i="1"/>
  <c r="EN62" i="1"/>
  <c r="EH62" i="1"/>
  <c r="EK62" i="1"/>
  <c r="EE62" i="1"/>
  <c r="EB62" i="1"/>
  <c r="DY62" i="1"/>
  <c r="DS62" i="1"/>
  <c r="DP62" i="1"/>
  <c r="DV62" i="1"/>
  <c r="DJ62" i="1"/>
  <c r="DA62" i="1"/>
  <c r="CY62" i="1" s="1"/>
  <c r="DG62" i="1"/>
  <c r="DM62" i="1"/>
  <c r="CX62" i="1"/>
  <c r="CV62" i="1" s="1"/>
  <c r="DD62" i="1"/>
  <c r="ET58" i="1"/>
  <c r="EQ58" i="1"/>
  <c r="EN58" i="1"/>
  <c r="EH58" i="1"/>
  <c r="EK58" i="1"/>
  <c r="EE58" i="1"/>
  <c r="DY58" i="1"/>
  <c r="EB58" i="1"/>
  <c r="DV58" i="1"/>
  <c r="DM58" i="1"/>
  <c r="DS58" i="1"/>
  <c r="DG58" i="1"/>
  <c r="DP58" i="1"/>
  <c r="DA58" i="1"/>
  <c r="CY58" i="1" s="1"/>
  <c r="CX58" i="1"/>
  <c r="DD58" i="1"/>
  <c r="DB58" i="1" s="1"/>
  <c r="DJ58" i="1"/>
  <c r="EQ54" i="1"/>
  <c r="ET54" i="1"/>
  <c r="EN54" i="1"/>
  <c r="EH54" i="1"/>
  <c r="EK54" i="1"/>
  <c r="EE54" i="1"/>
  <c r="EB54" i="1"/>
  <c r="DS54" i="1"/>
  <c r="DV54" i="1"/>
  <c r="DM54" i="1"/>
  <c r="DP54" i="1"/>
  <c r="DY54" i="1"/>
  <c r="DA54" i="1"/>
  <c r="CY54" i="1" s="1"/>
  <c r="DJ54" i="1"/>
  <c r="DD54" i="1"/>
  <c r="DG54" i="1"/>
  <c r="CX54" i="1"/>
  <c r="CV54" i="1" s="1"/>
  <c r="ET50" i="1"/>
  <c r="EQ50" i="1"/>
  <c r="EN50" i="1"/>
  <c r="EH50" i="1"/>
  <c r="EK50" i="1"/>
  <c r="EE50" i="1"/>
  <c r="EB50" i="1"/>
  <c r="DY50" i="1"/>
  <c r="DV50" i="1"/>
  <c r="DM50" i="1"/>
  <c r="DP50" i="1"/>
  <c r="DS50" i="1"/>
  <c r="DG50" i="1"/>
  <c r="DJ50" i="1"/>
  <c r="DA50" i="1"/>
  <c r="CY50" i="1" s="1"/>
  <c r="DD50" i="1"/>
  <c r="EQ46" i="1"/>
  <c r="ET46" i="1"/>
  <c r="EN46" i="1"/>
  <c r="EH46" i="1"/>
  <c r="EK46" i="1"/>
  <c r="EE46" i="1"/>
  <c r="DY46" i="1"/>
  <c r="DS46" i="1"/>
  <c r="EB46" i="1"/>
  <c r="DM46" i="1"/>
  <c r="DV46" i="1"/>
  <c r="DP46" i="1"/>
  <c r="DJ46" i="1"/>
  <c r="DH46" i="1" s="1"/>
  <c r="DG46" i="1"/>
  <c r="DA46" i="1"/>
  <c r="CY46" i="1" s="1"/>
  <c r="DD46" i="1"/>
  <c r="CX46" i="1"/>
  <c r="ET42" i="1"/>
  <c r="EQ42" i="1"/>
  <c r="EN42" i="1"/>
  <c r="EH42" i="1"/>
  <c r="EE42" i="1"/>
  <c r="DV42" i="1"/>
  <c r="DY42" i="1"/>
  <c r="EK42" i="1"/>
  <c r="EB42" i="1"/>
  <c r="DM42" i="1"/>
  <c r="DP42" i="1"/>
  <c r="DG42" i="1"/>
  <c r="DS42" i="1"/>
  <c r="DA42" i="1"/>
  <c r="CY42" i="1" s="1"/>
  <c r="DD42" i="1"/>
  <c r="DJ42" i="1"/>
  <c r="CX42" i="1"/>
  <c r="EQ38" i="1"/>
  <c r="ET38" i="1"/>
  <c r="EN38" i="1"/>
  <c r="EH38" i="1"/>
  <c r="EK38" i="1"/>
  <c r="EE38" i="1"/>
  <c r="EB38" i="1"/>
  <c r="DS38" i="1"/>
  <c r="DV38" i="1"/>
  <c r="DY38" i="1"/>
  <c r="DG38" i="1"/>
  <c r="DA38" i="1"/>
  <c r="CY38" i="1" s="1"/>
  <c r="DP38" i="1"/>
  <c r="DJ38" i="1"/>
  <c r="DD38" i="1"/>
  <c r="DM38" i="1"/>
  <c r="CX38" i="1"/>
  <c r="CV38" i="1" s="1"/>
  <c r="ET34" i="1"/>
  <c r="EQ34" i="1"/>
  <c r="EN34" i="1"/>
  <c r="EH34" i="1"/>
  <c r="EK34" i="1"/>
  <c r="EE34" i="1"/>
  <c r="DV34" i="1"/>
  <c r="EB34" i="1"/>
  <c r="DY34" i="1"/>
  <c r="DM34" i="1"/>
  <c r="DG34" i="1"/>
  <c r="DS34" i="1"/>
  <c r="DJ34" i="1"/>
  <c r="DP34" i="1"/>
  <c r="CX34" i="1"/>
  <c r="CV34" i="1" s="1"/>
  <c r="DD34" i="1"/>
  <c r="DA34" i="1"/>
  <c r="CY34" i="1" s="1"/>
  <c r="EQ30" i="1"/>
  <c r="ET30" i="1"/>
  <c r="EN30" i="1"/>
  <c r="EH30" i="1"/>
  <c r="EK30" i="1"/>
  <c r="EE30" i="1"/>
  <c r="EB30" i="1"/>
  <c r="DY30" i="1"/>
  <c r="DS30" i="1"/>
  <c r="DM30" i="1"/>
  <c r="DJ30" i="1"/>
  <c r="DP30" i="1"/>
  <c r="DA30" i="1"/>
  <c r="CY30" i="1" s="1"/>
  <c r="DG30" i="1"/>
  <c r="DV30" i="1"/>
  <c r="CX30" i="1"/>
  <c r="CV30" i="1" s="1"/>
  <c r="DD30" i="1"/>
  <c r="ET26" i="1"/>
  <c r="EQ26" i="1"/>
  <c r="EN26" i="1"/>
  <c r="EH26" i="1"/>
  <c r="EK26" i="1"/>
  <c r="EB26" i="1"/>
  <c r="EE26" i="1"/>
  <c r="DV26" i="1"/>
  <c r="DY26" i="1"/>
  <c r="DM26" i="1"/>
  <c r="DS26" i="1"/>
  <c r="DP26" i="1"/>
  <c r="DG26" i="1"/>
  <c r="DA26" i="1"/>
  <c r="CY26" i="1" s="1"/>
  <c r="CX26" i="1"/>
  <c r="DD26" i="1"/>
  <c r="DB26" i="1" s="1"/>
  <c r="DJ26" i="1"/>
  <c r="EQ22" i="1"/>
  <c r="ET22" i="1"/>
  <c r="EN22" i="1"/>
  <c r="EH22" i="1"/>
  <c r="EK22" i="1"/>
  <c r="EE22" i="1"/>
  <c r="DS22" i="1"/>
  <c r="DP22" i="1"/>
  <c r="EB22" i="1"/>
  <c r="DV22" i="1"/>
  <c r="DM22" i="1"/>
  <c r="DY22" i="1"/>
  <c r="DA22" i="1"/>
  <c r="CY22" i="1" s="1"/>
  <c r="DJ22" i="1"/>
  <c r="DD22" i="1"/>
  <c r="DG22" i="1"/>
  <c r="CX22" i="1"/>
  <c r="CV22" i="1" s="1"/>
  <c r="ET18" i="1"/>
  <c r="EQ18" i="1"/>
  <c r="EN18" i="1"/>
  <c r="EH18" i="1"/>
  <c r="EB18" i="1"/>
  <c r="EK18" i="1"/>
  <c r="EE18" i="1"/>
  <c r="DV18" i="1"/>
  <c r="DY18" i="1"/>
  <c r="DM18" i="1"/>
  <c r="DS18" i="1"/>
  <c r="DP18" i="1"/>
  <c r="DG18" i="1"/>
  <c r="DJ18" i="1"/>
  <c r="DA18" i="1"/>
  <c r="CY18" i="1" s="1"/>
  <c r="DD18" i="1"/>
  <c r="DB18" i="1" s="1"/>
  <c r="CX18" i="1"/>
  <c r="EQ14" i="1"/>
  <c r="ET14" i="1"/>
  <c r="EN14" i="1"/>
  <c r="EH14" i="1"/>
  <c r="EK14" i="1"/>
  <c r="EE14" i="1"/>
  <c r="DV14" i="1"/>
  <c r="DY14" i="1"/>
  <c r="DS14" i="1"/>
  <c r="DP14" i="1"/>
  <c r="EB14" i="1"/>
  <c r="DM14" i="1"/>
  <c r="DJ14" i="1"/>
  <c r="DH14" i="1" s="1"/>
  <c r="DG14" i="1"/>
  <c r="DA14" i="1"/>
  <c r="CY14" i="1" s="1"/>
  <c r="DD14" i="1"/>
  <c r="CX14" i="1"/>
  <c r="ET10" i="1"/>
  <c r="EQ10" i="1"/>
  <c r="EK10" i="1"/>
  <c r="EN10" i="1"/>
  <c r="EH10" i="1"/>
  <c r="EB10" i="1"/>
  <c r="EE10" i="1"/>
  <c r="DV10" i="1"/>
  <c r="DY10" i="1"/>
  <c r="DM10" i="1"/>
  <c r="DG10" i="1"/>
  <c r="DS10" i="1"/>
  <c r="DP10" i="1"/>
  <c r="CX10" i="1"/>
  <c r="DA10" i="1"/>
  <c r="CY10" i="1" s="1"/>
  <c r="DJ10" i="1"/>
  <c r="DD10" i="1"/>
  <c r="EQ6" i="1"/>
  <c r="ET6" i="1"/>
  <c r="EN6" i="1"/>
  <c r="EH6" i="1"/>
  <c r="EK6" i="1"/>
  <c r="EE6" i="1"/>
  <c r="EB6" i="1"/>
  <c r="DV6" i="1"/>
  <c r="DS6" i="1"/>
  <c r="DG6" i="1"/>
  <c r="DY6" i="1"/>
  <c r="DP6" i="1"/>
  <c r="DM6" i="1"/>
  <c r="DA6" i="1"/>
  <c r="CY6" i="1" s="1"/>
  <c r="DJ6" i="1"/>
  <c r="DD6" i="1"/>
  <c r="CX6" i="1"/>
  <c r="CV6" i="1" s="1"/>
  <c r="CW270" i="1"/>
  <c r="CW254" i="1"/>
  <c r="CW238" i="1"/>
  <c r="CW206" i="1"/>
  <c r="CV206" i="1" s="1"/>
  <c r="CW198" i="1"/>
  <c r="CW174" i="1"/>
  <c r="CW142" i="1"/>
  <c r="CW126" i="1"/>
  <c r="CW110" i="1"/>
  <c r="CW78" i="1"/>
  <c r="CW70" i="1"/>
  <c r="CW46" i="1"/>
  <c r="CW14" i="1"/>
  <c r="DC146" i="1"/>
  <c r="DB146" i="1" s="1"/>
  <c r="DC50" i="1"/>
  <c r="DF256" i="1"/>
  <c r="DF160" i="1"/>
  <c r="DF96" i="1"/>
  <c r="DF64" i="1"/>
  <c r="DL220" i="1"/>
  <c r="DL156" i="1"/>
  <c r="DL124" i="1"/>
  <c r="DL92" i="1"/>
  <c r="DL28" i="1"/>
  <c r="DO170" i="1"/>
  <c r="DO42" i="1"/>
  <c r="DR240" i="1"/>
  <c r="DR198" i="1"/>
  <c r="DR156" i="1"/>
  <c r="DR112" i="1"/>
  <c r="DR70" i="1"/>
  <c r="DR28" i="1"/>
  <c r="DU212" i="1"/>
  <c r="DU84" i="1"/>
  <c r="DX184" i="1"/>
  <c r="DX140" i="1"/>
  <c r="DX56" i="1"/>
  <c r="DX12" i="1"/>
  <c r="EA23" i="1"/>
  <c r="ED229" i="1"/>
  <c r="ED157" i="1"/>
  <c r="ED29" i="1"/>
  <c r="EG171" i="1"/>
  <c r="EG43" i="1"/>
  <c r="EJ47" i="1"/>
  <c r="DJ271" i="1"/>
  <c r="ET260" i="1"/>
  <c r="EN260" i="1"/>
  <c r="EQ260" i="1"/>
  <c r="EK260" i="1"/>
  <c r="EH260" i="1"/>
  <c r="EE260" i="1"/>
  <c r="DV260" i="1"/>
  <c r="DY260" i="1"/>
  <c r="DP260" i="1"/>
  <c r="DJ260" i="1"/>
  <c r="DS260" i="1"/>
  <c r="DD260" i="1"/>
  <c r="DM260" i="1"/>
  <c r="DK260" i="1" s="1"/>
  <c r="EB260" i="1"/>
  <c r="DG260" i="1"/>
  <c r="DA260" i="1"/>
  <c r="CY260" i="1" s="1"/>
  <c r="CX260" i="1"/>
  <c r="ET232" i="1"/>
  <c r="EN232" i="1"/>
  <c r="EQ232" i="1"/>
  <c r="EK232" i="1"/>
  <c r="EE232" i="1"/>
  <c r="DY232" i="1"/>
  <c r="EB232" i="1"/>
  <c r="EH232" i="1"/>
  <c r="DP232" i="1"/>
  <c r="DV232" i="1"/>
  <c r="DS232" i="1"/>
  <c r="DJ232" i="1"/>
  <c r="DA232" i="1"/>
  <c r="CY232" i="1" s="1"/>
  <c r="DD232" i="1"/>
  <c r="DM232" i="1"/>
  <c r="DG232" i="1"/>
  <c r="CX232" i="1"/>
  <c r="ET208" i="1"/>
  <c r="EN208" i="1"/>
  <c r="EQ208" i="1"/>
  <c r="EK208" i="1"/>
  <c r="EE208" i="1"/>
  <c r="EH208" i="1"/>
  <c r="DY208" i="1"/>
  <c r="EB208" i="1"/>
  <c r="DP208" i="1"/>
  <c r="DS208" i="1"/>
  <c r="DJ208" i="1"/>
  <c r="DV208" i="1"/>
  <c r="DM208" i="1"/>
  <c r="CX208" i="1"/>
  <c r="DG208" i="1"/>
  <c r="DD208" i="1"/>
  <c r="DA208" i="1"/>
  <c r="CY208" i="1" s="1"/>
  <c r="ET180" i="1"/>
  <c r="EN180" i="1"/>
  <c r="EQ180" i="1"/>
  <c r="EK180" i="1"/>
  <c r="EE180" i="1"/>
  <c r="DY180" i="1"/>
  <c r="EH180" i="1"/>
  <c r="DV180" i="1"/>
  <c r="DJ180" i="1"/>
  <c r="EB180" i="1"/>
  <c r="DS180" i="1"/>
  <c r="DP180" i="1"/>
  <c r="DD180" i="1"/>
  <c r="DG180" i="1"/>
  <c r="DM180" i="1"/>
  <c r="DA180" i="1"/>
  <c r="CY180" i="1" s="1"/>
  <c r="CX180" i="1"/>
  <c r="ET156" i="1"/>
  <c r="EN156" i="1"/>
  <c r="EQ156" i="1"/>
  <c r="EK156" i="1"/>
  <c r="EH156" i="1"/>
  <c r="DY156" i="1"/>
  <c r="DV156" i="1"/>
  <c r="EB156" i="1"/>
  <c r="DJ156" i="1"/>
  <c r="DM156" i="1"/>
  <c r="DS156" i="1"/>
  <c r="DP156" i="1"/>
  <c r="EE156" i="1"/>
  <c r="DD156" i="1"/>
  <c r="DG156" i="1"/>
  <c r="DA156" i="1"/>
  <c r="CY156" i="1" s="1"/>
  <c r="CX156" i="1"/>
  <c r="EQ132" i="1"/>
  <c r="ET132" i="1"/>
  <c r="EN132" i="1"/>
  <c r="EK132" i="1"/>
  <c r="EH132" i="1"/>
  <c r="DY132" i="1"/>
  <c r="EE132" i="1"/>
  <c r="EB132" i="1"/>
  <c r="DV132" i="1"/>
  <c r="DP132" i="1"/>
  <c r="DJ132" i="1"/>
  <c r="DS132" i="1"/>
  <c r="DM132" i="1"/>
  <c r="DD132" i="1"/>
  <c r="DG132" i="1"/>
  <c r="DA132" i="1"/>
  <c r="CY132" i="1" s="1"/>
  <c r="CX132" i="1"/>
  <c r="EQ100" i="1"/>
  <c r="ET100" i="1"/>
  <c r="EN100" i="1"/>
  <c r="EK100" i="1"/>
  <c r="EH100" i="1"/>
  <c r="DY100" i="1"/>
  <c r="DV100" i="1"/>
  <c r="DM100" i="1"/>
  <c r="DK100" i="1" s="1"/>
  <c r="DJ100" i="1"/>
  <c r="EB100" i="1"/>
  <c r="DS100" i="1"/>
  <c r="DP100" i="1"/>
  <c r="EE100" i="1"/>
  <c r="DD100" i="1"/>
  <c r="DG100" i="1"/>
  <c r="CX100" i="1"/>
  <c r="DA100" i="1"/>
  <c r="CY100" i="1" s="1"/>
  <c r="EQ76" i="1"/>
  <c r="ET76" i="1"/>
  <c r="EN76" i="1"/>
  <c r="EK76" i="1"/>
  <c r="EH76" i="1"/>
  <c r="DY76" i="1"/>
  <c r="DV76" i="1"/>
  <c r="EE76" i="1"/>
  <c r="DJ76" i="1"/>
  <c r="DM76" i="1"/>
  <c r="DP76" i="1"/>
  <c r="DS76" i="1"/>
  <c r="EB76" i="1"/>
  <c r="DD76" i="1"/>
  <c r="CX76" i="1"/>
  <c r="DG76" i="1"/>
  <c r="DA76" i="1"/>
  <c r="CY76" i="1" s="1"/>
  <c r="EQ52" i="1"/>
  <c r="ET52" i="1"/>
  <c r="EN52" i="1"/>
  <c r="EK52" i="1"/>
  <c r="EB52" i="1"/>
  <c r="EE52" i="1"/>
  <c r="DY52" i="1"/>
  <c r="EH52" i="1"/>
  <c r="DV52" i="1"/>
  <c r="DJ52" i="1"/>
  <c r="DS52" i="1"/>
  <c r="DP52" i="1"/>
  <c r="DD52" i="1"/>
  <c r="DG52" i="1"/>
  <c r="CX52" i="1"/>
  <c r="DA52" i="1"/>
  <c r="CY52" i="1" s="1"/>
  <c r="DM52" i="1"/>
  <c r="EQ28" i="1"/>
  <c r="ET28" i="1"/>
  <c r="EN28" i="1"/>
  <c r="EK28" i="1"/>
  <c r="EB28" i="1"/>
  <c r="EH28" i="1"/>
  <c r="DY28" i="1"/>
  <c r="DJ28" i="1"/>
  <c r="DM28" i="1"/>
  <c r="EE28" i="1"/>
  <c r="DS28" i="1"/>
  <c r="DV28" i="1"/>
  <c r="DP28" i="1"/>
  <c r="DG28" i="1"/>
  <c r="DD28" i="1"/>
  <c r="DA28" i="1"/>
  <c r="CY28" i="1" s="1"/>
  <c r="CX28" i="1"/>
  <c r="EQ4" i="1"/>
  <c r="ET4" i="1"/>
  <c r="EN4" i="1"/>
  <c r="EK4" i="1"/>
  <c r="EH4" i="1"/>
  <c r="EB4" i="1"/>
  <c r="DY4" i="1"/>
  <c r="EE4" i="1"/>
  <c r="DP4" i="1"/>
  <c r="DJ4" i="1"/>
  <c r="DS4" i="1"/>
  <c r="DV4" i="1"/>
  <c r="DM4" i="1"/>
  <c r="DK4" i="1" s="1"/>
  <c r="DG4" i="1"/>
  <c r="DD4" i="1"/>
  <c r="CX4" i="1"/>
  <c r="DA4" i="1"/>
  <c r="CY4" i="1" s="1"/>
  <c r="EP252" i="1"/>
  <c r="EG252" i="1"/>
  <c r="EJ252" i="1"/>
  <c r="ES252" i="1"/>
  <c r="EA252" i="1"/>
  <c r="DO252" i="1"/>
  <c r="DC252" i="1"/>
  <c r="EM252" i="1"/>
  <c r="ED252" i="1"/>
  <c r="DX252" i="1"/>
  <c r="DF252" i="1"/>
  <c r="DU252" i="1"/>
  <c r="DI252" i="1"/>
  <c r="ES228" i="1"/>
  <c r="EG228" i="1"/>
  <c r="EJ228" i="1"/>
  <c r="EM228" i="1"/>
  <c r="EP228" i="1"/>
  <c r="DX228" i="1"/>
  <c r="DO228" i="1"/>
  <c r="DC228" i="1"/>
  <c r="DU228" i="1"/>
  <c r="DF228" i="1"/>
  <c r="DR228" i="1"/>
  <c r="DI228" i="1"/>
  <c r="EP208" i="1"/>
  <c r="ES208" i="1"/>
  <c r="EG208" i="1"/>
  <c r="EM208" i="1"/>
  <c r="DX208" i="1"/>
  <c r="DI208" i="1"/>
  <c r="DL208" i="1"/>
  <c r="EJ208" i="1"/>
  <c r="DU208" i="1"/>
  <c r="ED208" i="1"/>
  <c r="DO208" i="1"/>
  <c r="DC208" i="1"/>
  <c r="EP188" i="1"/>
  <c r="EG188" i="1"/>
  <c r="EJ188" i="1"/>
  <c r="ES188" i="1"/>
  <c r="EA188" i="1"/>
  <c r="DO188" i="1"/>
  <c r="DC188" i="1"/>
  <c r="ED188" i="1"/>
  <c r="DX188" i="1"/>
  <c r="DF188" i="1"/>
  <c r="DU188" i="1"/>
  <c r="DI188" i="1"/>
  <c r="EP168" i="1"/>
  <c r="ED168" i="1"/>
  <c r="ES168" i="1"/>
  <c r="EG168" i="1"/>
  <c r="EA168" i="1"/>
  <c r="DR168" i="1"/>
  <c r="DI168" i="1"/>
  <c r="EJ168" i="1"/>
  <c r="EM168" i="1"/>
  <c r="DX168" i="1"/>
  <c r="DL168" i="1"/>
  <c r="DO168" i="1"/>
  <c r="DC168" i="1"/>
  <c r="EP148" i="1"/>
  <c r="EM148" i="1"/>
  <c r="EG148" i="1"/>
  <c r="EJ148" i="1"/>
  <c r="ES148" i="1"/>
  <c r="DR148" i="1"/>
  <c r="DO148" i="1"/>
  <c r="DC148" i="1"/>
  <c r="EA148" i="1"/>
  <c r="DF148" i="1"/>
  <c r="ED148" i="1"/>
  <c r="DX148" i="1"/>
  <c r="DI148" i="1"/>
  <c r="EP128" i="1"/>
  <c r="EM128" i="1"/>
  <c r="ED128" i="1"/>
  <c r="ES128" i="1"/>
  <c r="EG128" i="1"/>
  <c r="EJ128" i="1"/>
  <c r="DU128" i="1"/>
  <c r="DI128" i="1"/>
  <c r="EA128" i="1"/>
  <c r="DR128" i="1"/>
  <c r="DL128" i="1"/>
  <c r="DX128" i="1"/>
  <c r="DO128" i="1"/>
  <c r="DC128" i="1"/>
  <c r="ES100" i="1"/>
  <c r="EM100" i="1"/>
  <c r="EG100" i="1"/>
  <c r="EJ100" i="1"/>
  <c r="ED100" i="1"/>
  <c r="DX100" i="1"/>
  <c r="DO100" i="1"/>
  <c r="DC100" i="1"/>
  <c r="DB100" i="1" s="1"/>
  <c r="DU100" i="1"/>
  <c r="DF100" i="1"/>
  <c r="EP100" i="1"/>
  <c r="DR100" i="1"/>
  <c r="DI100" i="1"/>
  <c r="ES76" i="1"/>
  <c r="EP76" i="1"/>
  <c r="EG76" i="1"/>
  <c r="EM76" i="1"/>
  <c r="EJ76" i="1"/>
  <c r="DU76" i="1"/>
  <c r="DO76" i="1"/>
  <c r="DC76" i="1"/>
  <c r="ED76" i="1"/>
  <c r="DR76" i="1"/>
  <c r="DF76" i="1"/>
  <c r="EA76" i="1"/>
  <c r="DI76" i="1"/>
  <c r="EP52" i="1"/>
  <c r="ES52" i="1"/>
  <c r="EM52" i="1"/>
  <c r="EG52" i="1"/>
  <c r="EJ52" i="1"/>
  <c r="DR52" i="1"/>
  <c r="DO52" i="1"/>
  <c r="DC52" i="1"/>
  <c r="EA52" i="1"/>
  <c r="DF52" i="1"/>
  <c r="ED52" i="1"/>
  <c r="DX52" i="1"/>
  <c r="DI52" i="1"/>
  <c r="ES24" i="1"/>
  <c r="EJ24" i="1"/>
  <c r="EM24" i="1"/>
  <c r="EA24" i="1"/>
  <c r="EP24" i="1"/>
  <c r="ED24" i="1"/>
  <c r="EG24" i="1"/>
  <c r="DI24" i="1"/>
  <c r="DH24" i="1" s="1"/>
  <c r="DU24" i="1"/>
  <c r="DL24" i="1"/>
  <c r="DR24" i="1"/>
  <c r="DO24" i="1"/>
  <c r="DC24" i="1"/>
  <c r="ED260" i="1"/>
  <c r="ED92" i="1"/>
  <c r="EJ248" i="1"/>
  <c r="EM270" i="1"/>
  <c r="ES270" i="1"/>
  <c r="ED270" i="1"/>
  <c r="EG270" i="1"/>
  <c r="EJ270" i="1"/>
  <c r="DX270" i="1"/>
  <c r="DL270" i="1"/>
  <c r="DU270" i="1"/>
  <c r="DO270" i="1"/>
  <c r="DC270" i="1"/>
  <c r="EP270" i="1"/>
  <c r="EA270" i="1"/>
  <c r="DR270" i="1"/>
  <c r="DF270" i="1"/>
  <c r="EP266" i="1"/>
  <c r="ES266" i="1"/>
  <c r="EJ266" i="1"/>
  <c r="EM266" i="1"/>
  <c r="ED266" i="1"/>
  <c r="DF266" i="1"/>
  <c r="DR266" i="1"/>
  <c r="EA266" i="1"/>
  <c r="DI266" i="1"/>
  <c r="DX266" i="1"/>
  <c r="DL266" i="1"/>
  <c r="EM262" i="1"/>
  <c r="ED262" i="1"/>
  <c r="EG262" i="1"/>
  <c r="EP262" i="1"/>
  <c r="EJ262" i="1"/>
  <c r="DL262" i="1"/>
  <c r="ES262" i="1"/>
  <c r="DX262" i="1"/>
  <c r="DO262" i="1"/>
  <c r="DC262" i="1"/>
  <c r="DB262" i="1" s="1"/>
  <c r="DU262" i="1"/>
  <c r="DF262" i="1"/>
  <c r="ES258" i="1"/>
  <c r="EP258" i="1"/>
  <c r="EJ258" i="1"/>
  <c r="EM258" i="1"/>
  <c r="ED258" i="1"/>
  <c r="DU258" i="1"/>
  <c r="DF258" i="1"/>
  <c r="DI258" i="1"/>
  <c r="EG258" i="1"/>
  <c r="DR258" i="1"/>
  <c r="EA258" i="1"/>
  <c r="DL258" i="1"/>
  <c r="ES254" i="1"/>
  <c r="EP254" i="1"/>
  <c r="EM254" i="1"/>
  <c r="ED254" i="1"/>
  <c r="EG254" i="1"/>
  <c r="EJ254" i="1"/>
  <c r="EA254" i="1"/>
  <c r="DR254" i="1"/>
  <c r="DL254" i="1"/>
  <c r="DO254" i="1"/>
  <c r="DC254" i="1"/>
  <c r="DX254" i="1"/>
  <c r="DF254" i="1"/>
  <c r="ES250" i="1"/>
  <c r="EJ250" i="1"/>
  <c r="ED250" i="1"/>
  <c r="EM250" i="1"/>
  <c r="DX250" i="1"/>
  <c r="DF250" i="1"/>
  <c r="EG250" i="1"/>
  <c r="EP250" i="1"/>
  <c r="DU250" i="1"/>
  <c r="DI250" i="1"/>
  <c r="DL250" i="1"/>
  <c r="DK250" i="1" s="1"/>
  <c r="EM246" i="1"/>
  <c r="EP246" i="1"/>
  <c r="ED246" i="1"/>
  <c r="ES246" i="1"/>
  <c r="EG246" i="1"/>
  <c r="EJ246" i="1"/>
  <c r="DU246" i="1"/>
  <c r="DL246" i="1"/>
  <c r="EA246" i="1"/>
  <c r="DR246" i="1"/>
  <c r="DO246" i="1"/>
  <c r="DC246" i="1"/>
  <c r="DF246" i="1"/>
  <c r="EJ242" i="1"/>
  <c r="EP242" i="1"/>
  <c r="ED242" i="1"/>
  <c r="EG242" i="1"/>
  <c r="DR242" i="1"/>
  <c r="ES242" i="1"/>
  <c r="EM242" i="1"/>
  <c r="EA242" i="1"/>
  <c r="DF242" i="1"/>
  <c r="DX242" i="1"/>
  <c r="DI242" i="1"/>
  <c r="DU242" i="1"/>
  <c r="DL242" i="1"/>
  <c r="EM238" i="1"/>
  <c r="ES238" i="1"/>
  <c r="ED238" i="1"/>
  <c r="EG238" i="1"/>
  <c r="EP238" i="1"/>
  <c r="EJ238" i="1"/>
  <c r="DX238" i="1"/>
  <c r="DL238" i="1"/>
  <c r="DU238" i="1"/>
  <c r="DO238" i="1"/>
  <c r="DC238" i="1"/>
  <c r="EA238" i="1"/>
  <c r="DR238" i="1"/>
  <c r="DF238" i="1"/>
  <c r="EP234" i="1"/>
  <c r="EJ234" i="1"/>
  <c r="EM234" i="1"/>
  <c r="ES234" i="1"/>
  <c r="ED234" i="1"/>
  <c r="DF234" i="1"/>
  <c r="DR234" i="1"/>
  <c r="EA234" i="1"/>
  <c r="DI234" i="1"/>
  <c r="DX234" i="1"/>
  <c r="DL234" i="1"/>
  <c r="DK234" i="1" s="1"/>
  <c r="EM230" i="1"/>
  <c r="EP230" i="1"/>
  <c r="ED230" i="1"/>
  <c r="ES230" i="1"/>
  <c r="EG230" i="1"/>
  <c r="EJ230" i="1"/>
  <c r="DL230" i="1"/>
  <c r="DX230" i="1"/>
  <c r="DO230" i="1"/>
  <c r="DC230" i="1"/>
  <c r="DU230" i="1"/>
  <c r="DF230" i="1"/>
  <c r="ES226" i="1"/>
  <c r="EP226" i="1"/>
  <c r="EJ226" i="1"/>
  <c r="EM226" i="1"/>
  <c r="ED226" i="1"/>
  <c r="DU226" i="1"/>
  <c r="DF226" i="1"/>
  <c r="DI226" i="1"/>
  <c r="EG226" i="1"/>
  <c r="DR226" i="1"/>
  <c r="EA226" i="1"/>
  <c r="DL226" i="1"/>
  <c r="ES222" i="1"/>
  <c r="EP222" i="1"/>
  <c r="EM222" i="1"/>
  <c r="ED222" i="1"/>
  <c r="EG222" i="1"/>
  <c r="EJ222" i="1"/>
  <c r="EA222" i="1"/>
  <c r="DR222" i="1"/>
  <c r="DL222" i="1"/>
  <c r="DO222" i="1"/>
  <c r="DC222" i="1"/>
  <c r="DB222" i="1" s="1"/>
  <c r="DX222" i="1"/>
  <c r="DF222" i="1"/>
  <c r="ES218" i="1"/>
  <c r="EJ218" i="1"/>
  <c r="EP218" i="1"/>
  <c r="ED218" i="1"/>
  <c r="EM218" i="1"/>
  <c r="DX218" i="1"/>
  <c r="DF218" i="1"/>
  <c r="EG218" i="1"/>
  <c r="DU218" i="1"/>
  <c r="DI218" i="1"/>
  <c r="DL218" i="1"/>
  <c r="EM214" i="1"/>
  <c r="EP214" i="1"/>
  <c r="ED214" i="1"/>
  <c r="EG214" i="1"/>
  <c r="EJ214" i="1"/>
  <c r="ES214" i="1"/>
  <c r="DU214" i="1"/>
  <c r="DL214" i="1"/>
  <c r="DK214" i="1" s="1"/>
  <c r="EA214" i="1"/>
  <c r="DR214" i="1"/>
  <c r="DO214" i="1"/>
  <c r="DC214" i="1"/>
  <c r="DB214" i="1" s="1"/>
  <c r="DF214" i="1"/>
  <c r="EP210" i="1"/>
  <c r="EJ210" i="1"/>
  <c r="ES210" i="1"/>
  <c r="ED210" i="1"/>
  <c r="EG210" i="1"/>
  <c r="DR210" i="1"/>
  <c r="EA210" i="1"/>
  <c r="DF210" i="1"/>
  <c r="EM210" i="1"/>
  <c r="DX210" i="1"/>
  <c r="DI210" i="1"/>
  <c r="DU210" i="1"/>
  <c r="DL210" i="1"/>
  <c r="EM206" i="1"/>
  <c r="ES206" i="1"/>
  <c r="ED206" i="1"/>
  <c r="EG206" i="1"/>
  <c r="EJ206" i="1"/>
  <c r="DX206" i="1"/>
  <c r="DL206" i="1"/>
  <c r="DU206" i="1"/>
  <c r="DO206" i="1"/>
  <c r="DC206" i="1"/>
  <c r="EA206" i="1"/>
  <c r="DR206" i="1"/>
  <c r="DF206" i="1"/>
  <c r="EP202" i="1"/>
  <c r="ES202" i="1"/>
  <c r="EJ202" i="1"/>
  <c r="EM202" i="1"/>
  <c r="ED202" i="1"/>
  <c r="DF202" i="1"/>
  <c r="DR202" i="1"/>
  <c r="EA202" i="1"/>
  <c r="DI202" i="1"/>
  <c r="DX202" i="1"/>
  <c r="DL202" i="1"/>
  <c r="EM198" i="1"/>
  <c r="ED198" i="1"/>
  <c r="EG198" i="1"/>
  <c r="EP198" i="1"/>
  <c r="EJ198" i="1"/>
  <c r="DL198" i="1"/>
  <c r="DX198" i="1"/>
  <c r="DO198" i="1"/>
  <c r="DC198" i="1"/>
  <c r="ES198" i="1"/>
  <c r="DU198" i="1"/>
  <c r="DF198" i="1"/>
  <c r="DE198" i="1" s="1"/>
  <c r="ES194" i="1"/>
  <c r="EP194" i="1"/>
  <c r="EJ194" i="1"/>
  <c r="EM194" i="1"/>
  <c r="ED194" i="1"/>
  <c r="DU194" i="1"/>
  <c r="DF194" i="1"/>
  <c r="DI194" i="1"/>
  <c r="EG194" i="1"/>
  <c r="DR194" i="1"/>
  <c r="EA194" i="1"/>
  <c r="DL194" i="1"/>
  <c r="ES190" i="1"/>
  <c r="EP190" i="1"/>
  <c r="EM190" i="1"/>
  <c r="ED190" i="1"/>
  <c r="EG190" i="1"/>
  <c r="EJ190" i="1"/>
  <c r="EA190" i="1"/>
  <c r="DR190" i="1"/>
  <c r="DL190" i="1"/>
  <c r="DO190" i="1"/>
  <c r="DC190" i="1"/>
  <c r="DX190" i="1"/>
  <c r="DF190" i="1"/>
  <c r="DE190" i="1" s="1"/>
  <c r="ES186" i="1"/>
  <c r="EJ186" i="1"/>
  <c r="ED186" i="1"/>
  <c r="EM186" i="1"/>
  <c r="DX186" i="1"/>
  <c r="DF186" i="1"/>
  <c r="DE186" i="1" s="1"/>
  <c r="EG186" i="1"/>
  <c r="DU186" i="1"/>
  <c r="DI186" i="1"/>
  <c r="EP186" i="1"/>
  <c r="DL186" i="1"/>
  <c r="EM182" i="1"/>
  <c r="EP182" i="1"/>
  <c r="ED182" i="1"/>
  <c r="ES182" i="1"/>
  <c r="EG182" i="1"/>
  <c r="EJ182" i="1"/>
  <c r="DU182" i="1"/>
  <c r="DL182" i="1"/>
  <c r="EA182" i="1"/>
  <c r="DR182" i="1"/>
  <c r="DO182" i="1"/>
  <c r="DC182" i="1"/>
  <c r="DF182" i="1"/>
  <c r="EJ178" i="1"/>
  <c r="EP178" i="1"/>
  <c r="ED178" i="1"/>
  <c r="EG178" i="1"/>
  <c r="DR178" i="1"/>
  <c r="EA178" i="1"/>
  <c r="DF178" i="1"/>
  <c r="ES178" i="1"/>
  <c r="DX178" i="1"/>
  <c r="DI178" i="1"/>
  <c r="EM178" i="1"/>
  <c r="DU178" i="1"/>
  <c r="DL178" i="1"/>
  <c r="EM174" i="1"/>
  <c r="ES174" i="1"/>
  <c r="ED174" i="1"/>
  <c r="EG174" i="1"/>
  <c r="EP174" i="1"/>
  <c r="EJ174" i="1"/>
  <c r="DX174" i="1"/>
  <c r="DL174" i="1"/>
  <c r="DU174" i="1"/>
  <c r="DO174" i="1"/>
  <c r="DC174" i="1"/>
  <c r="EA174" i="1"/>
  <c r="DR174" i="1"/>
  <c r="DF174" i="1"/>
  <c r="EP170" i="1"/>
  <c r="EJ170" i="1"/>
  <c r="EM170" i="1"/>
  <c r="ES170" i="1"/>
  <c r="ED170" i="1"/>
  <c r="DF170" i="1"/>
  <c r="DR170" i="1"/>
  <c r="EA170" i="1"/>
  <c r="DI170" i="1"/>
  <c r="DX170" i="1"/>
  <c r="DL170" i="1"/>
  <c r="EM166" i="1"/>
  <c r="EP166" i="1"/>
  <c r="ED166" i="1"/>
  <c r="ES166" i="1"/>
  <c r="EG166" i="1"/>
  <c r="EJ166" i="1"/>
  <c r="DL166" i="1"/>
  <c r="DX166" i="1"/>
  <c r="DO166" i="1"/>
  <c r="DC166" i="1"/>
  <c r="DU166" i="1"/>
  <c r="DF166" i="1"/>
  <c r="ES162" i="1"/>
  <c r="EP162" i="1"/>
  <c r="EJ162" i="1"/>
  <c r="EM162" i="1"/>
  <c r="ED162" i="1"/>
  <c r="DU162" i="1"/>
  <c r="DF162" i="1"/>
  <c r="DI162" i="1"/>
  <c r="EG162" i="1"/>
  <c r="DR162" i="1"/>
  <c r="EA162" i="1"/>
  <c r="DL162" i="1"/>
  <c r="ES158" i="1"/>
  <c r="EP158" i="1"/>
  <c r="EM158" i="1"/>
  <c r="ED158" i="1"/>
  <c r="EG158" i="1"/>
  <c r="EJ158" i="1"/>
  <c r="EA158" i="1"/>
  <c r="DR158" i="1"/>
  <c r="DL158" i="1"/>
  <c r="DO158" i="1"/>
  <c r="DC158" i="1"/>
  <c r="DB158" i="1" s="1"/>
  <c r="DX158" i="1"/>
  <c r="DF158" i="1"/>
  <c r="ES154" i="1"/>
  <c r="EJ154" i="1"/>
  <c r="EP154" i="1"/>
  <c r="ED154" i="1"/>
  <c r="EM154" i="1"/>
  <c r="DX154" i="1"/>
  <c r="DF154" i="1"/>
  <c r="EG154" i="1"/>
  <c r="DU154" i="1"/>
  <c r="DI154" i="1"/>
  <c r="DL154" i="1"/>
  <c r="EM150" i="1"/>
  <c r="EP150" i="1"/>
  <c r="ED150" i="1"/>
  <c r="EG150" i="1"/>
  <c r="EJ150" i="1"/>
  <c r="ES150" i="1"/>
  <c r="DU150" i="1"/>
  <c r="DL150" i="1"/>
  <c r="EA150" i="1"/>
  <c r="DR150" i="1"/>
  <c r="DO150" i="1"/>
  <c r="DC150" i="1"/>
  <c r="DF150" i="1"/>
  <c r="EP146" i="1"/>
  <c r="EJ146" i="1"/>
  <c r="ES146" i="1"/>
  <c r="ED146" i="1"/>
  <c r="EG146" i="1"/>
  <c r="DR146" i="1"/>
  <c r="EA146" i="1"/>
  <c r="DF146" i="1"/>
  <c r="DX146" i="1"/>
  <c r="DI146" i="1"/>
  <c r="DU146" i="1"/>
  <c r="DL146" i="1"/>
  <c r="EM142" i="1"/>
  <c r="ES142" i="1"/>
  <c r="ED142" i="1"/>
  <c r="EG142" i="1"/>
  <c r="EJ142" i="1"/>
  <c r="DX142" i="1"/>
  <c r="EP142" i="1"/>
  <c r="DL142" i="1"/>
  <c r="DK142" i="1" s="1"/>
  <c r="DU142" i="1"/>
  <c r="DO142" i="1"/>
  <c r="DC142" i="1"/>
  <c r="DB142" i="1" s="1"/>
  <c r="EA142" i="1"/>
  <c r="DR142" i="1"/>
  <c r="DF142" i="1"/>
  <c r="EP138" i="1"/>
  <c r="ES138" i="1"/>
  <c r="EJ138" i="1"/>
  <c r="EM138" i="1"/>
  <c r="ED138" i="1"/>
  <c r="DF138" i="1"/>
  <c r="DR138" i="1"/>
  <c r="EA138" i="1"/>
  <c r="DI138" i="1"/>
  <c r="DX138" i="1"/>
  <c r="DL138" i="1"/>
  <c r="EM134" i="1"/>
  <c r="ED134" i="1"/>
  <c r="EG134" i="1"/>
  <c r="EP134" i="1"/>
  <c r="EJ134" i="1"/>
  <c r="DL134" i="1"/>
  <c r="DX134" i="1"/>
  <c r="DO134" i="1"/>
  <c r="DC134" i="1"/>
  <c r="DU134" i="1"/>
  <c r="DF134" i="1"/>
  <c r="ES130" i="1"/>
  <c r="EP130" i="1"/>
  <c r="EJ130" i="1"/>
  <c r="ED130" i="1"/>
  <c r="DU130" i="1"/>
  <c r="DF130" i="1"/>
  <c r="DI130" i="1"/>
  <c r="DH130" i="1" s="1"/>
  <c r="EG130" i="1"/>
  <c r="DR130" i="1"/>
  <c r="EM130" i="1"/>
  <c r="EA130" i="1"/>
  <c r="DL130" i="1"/>
  <c r="ES126" i="1"/>
  <c r="EP126" i="1"/>
  <c r="EM126" i="1"/>
  <c r="ED126" i="1"/>
  <c r="EG126" i="1"/>
  <c r="EJ126" i="1"/>
  <c r="EA126" i="1"/>
  <c r="DR126" i="1"/>
  <c r="DL126" i="1"/>
  <c r="DO126" i="1"/>
  <c r="DC126" i="1"/>
  <c r="DX126" i="1"/>
  <c r="DF126" i="1"/>
  <c r="ES122" i="1"/>
  <c r="EJ122" i="1"/>
  <c r="EM122" i="1"/>
  <c r="ED122" i="1"/>
  <c r="DX122" i="1"/>
  <c r="DF122" i="1"/>
  <c r="EG122" i="1"/>
  <c r="DU122" i="1"/>
  <c r="DI122" i="1"/>
  <c r="DL122" i="1"/>
  <c r="EM118" i="1"/>
  <c r="EP118" i="1"/>
  <c r="ED118" i="1"/>
  <c r="ES118" i="1"/>
  <c r="EG118" i="1"/>
  <c r="EJ118" i="1"/>
  <c r="DU118" i="1"/>
  <c r="DL118" i="1"/>
  <c r="EA118" i="1"/>
  <c r="DR118" i="1"/>
  <c r="DO118" i="1"/>
  <c r="DC118" i="1"/>
  <c r="DF118" i="1"/>
  <c r="EJ114" i="1"/>
  <c r="EP114" i="1"/>
  <c r="ED114" i="1"/>
  <c r="EG114" i="1"/>
  <c r="DR114" i="1"/>
  <c r="EA114" i="1"/>
  <c r="DF114" i="1"/>
  <c r="EM114" i="1"/>
  <c r="DX114" i="1"/>
  <c r="DI114" i="1"/>
  <c r="ES114" i="1"/>
  <c r="DU114" i="1"/>
  <c r="DL114" i="1"/>
  <c r="EM110" i="1"/>
  <c r="ES110" i="1"/>
  <c r="ED110" i="1"/>
  <c r="EG110" i="1"/>
  <c r="EP110" i="1"/>
  <c r="EJ110" i="1"/>
  <c r="DX110" i="1"/>
  <c r="DL110" i="1"/>
  <c r="DU110" i="1"/>
  <c r="DO110" i="1"/>
  <c r="DC110" i="1"/>
  <c r="EA110" i="1"/>
  <c r="DR110" i="1"/>
  <c r="DF110" i="1"/>
  <c r="EP106" i="1"/>
  <c r="EJ106" i="1"/>
  <c r="EM106" i="1"/>
  <c r="ES106" i="1"/>
  <c r="ED106" i="1"/>
  <c r="DF106" i="1"/>
  <c r="DR106" i="1"/>
  <c r="EA106" i="1"/>
  <c r="DI106" i="1"/>
  <c r="DX106" i="1"/>
  <c r="DL106" i="1"/>
  <c r="EM102" i="1"/>
  <c r="EP102" i="1"/>
  <c r="ED102" i="1"/>
  <c r="ES102" i="1"/>
  <c r="EG102" i="1"/>
  <c r="EJ102" i="1"/>
  <c r="DL102" i="1"/>
  <c r="DX102" i="1"/>
  <c r="DO102" i="1"/>
  <c r="DC102" i="1"/>
  <c r="DU102" i="1"/>
  <c r="DF102" i="1"/>
  <c r="DE102" i="1" s="1"/>
  <c r="ES98" i="1"/>
  <c r="EP98" i="1"/>
  <c r="EJ98" i="1"/>
  <c r="ED98" i="1"/>
  <c r="EM98" i="1"/>
  <c r="DU98" i="1"/>
  <c r="DF98" i="1"/>
  <c r="DI98" i="1"/>
  <c r="EG98" i="1"/>
  <c r="DR98" i="1"/>
  <c r="EA98" i="1"/>
  <c r="DL98" i="1"/>
  <c r="ES94" i="1"/>
  <c r="EP94" i="1"/>
  <c r="EM94" i="1"/>
  <c r="ED94" i="1"/>
  <c r="EG94" i="1"/>
  <c r="EJ94" i="1"/>
  <c r="EA94" i="1"/>
  <c r="DR94" i="1"/>
  <c r="DL94" i="1"/>
  <c r="DO94" i="1"/>
  <c r="DC94" i="1"/>
  <c r="DB94" i="1" s="1"/>
  <c r="DX94" i="1"/>
  <c r="DF94" i="1"/>
  <c r="ES90" i="1"/>
  <c r="EJ90" i="1"/>
  <c r="EP90" i="1"/>
  <c r="EM90" i="1"/>
  <c r="ED90" i="1"/>
  <c r="DX90" i="1"/>
  <c r="DF90" i="1"/>
  <c r="EG90" i="1"/>
  <c r="DU90" i="1"/>
  <c r="DI90" i="1"/>
  <c r="DL90" i="1"/>
  <c r="DK90" i="1" s="1"/>
  <c r="EM86" i="1"/>
  <c r="EP86" i="1"/>
  <c r="ED86" i="1"/>
  <c r="EG86" i="1"/>
  <c r="ES86" i="1"/>
  <c r="EJ86" i="1"/>
  <c r="DU86" i="1"/>
  <c r="DL86" i="1"/>
  <c r="EA86" i="1"/>
  <c r="DR86" i="1"/>
  <c r="DO86" i="1"/>
  <c r="DC86" i="1"/>
  <c r="DF86" i="1"/>
  <c r="EP82" i="1"/>
  <c r="EJ82" i="1"/>
  <c r="ES82" i="1"/>
  <c r="ED82" i="1"/>
  <c r="EG82" i="1"/>
  <c r="DR82" i="1"/>
  <c r="EA82" i="1"/>
  <c r="DF82" i="1"/>
  <c r="DX82" i="1"/>
  <c r="DI82" i="1"/>
  <c r="DU82" i="1"/>
  <c r="DL82" i="1"/>
  <c r="EM78" i="1"/>
  <c r="ES78" i="1"/>
  <c r="ED78" i="1"/>
  <c r="EG78" i="1"/>
  <c r="DX78" i="1"/>
  <c r="DL78" i="1"/>
  <c r="EP78" i="1"/>
  <c r="DU78" i="1"/>
  <c r="DO78" i="1"/>
  <c r="DC78" i="1"/>
  <c r="EJ78" i="1"/>
  <c r="EA78" i="1"/>
  <c r="DR78" i="1"/>
  <c r="DF78" i="1"/>
  <c r="EP74" i="1"/>
  <c r="ES74" i="1"/>
  <c r="EM74" i="1"/>
  <c r="EJ74" i="1"/>
  <c r="ED74" i="1"/>
  <c r="DF74" i="1"/>
  <c r="DR74" i="1"/>
  <c r="EA74" i="1"/>
  <c r="DI74" i="1"/>
  <c r="DX74" i="1"/>
  <c r="DL74" i="1"/>
  <c r="EM70" i="1"/>
  <c r="EJ70" i="1"/>
  <c r="ED70" i="1"/>
  <c r="EG70" i="1"/>
  <c r="EP70" i="1"/>
  <c r="ES70" i="1"/>
  <c r="DL70" i="1"/>
  <c r="DX70" i="1"/>
  <c r="DO70" i="1"/>
  <c r="DC70" i="1"/>
  <c r="DB70" i="1" s="1"/>
  <c r="DU70" i="1"/>
  <c r="DF70" i="1"/>
  <c r="ES66" i="1"/>
  <c r="EP66" i="1"/>
  <c r="ED66" i="1"/>
  <c r="EJ66" i="1"/>
  <c r="DU66" i="1"/>
  <c r="DF66" i="1"/>
  <c r="DI66" i="1"/>
  <c r="EG66" i="1"/>
  <c r="DR66" i="1"/>
  <c r="EM66" i="1"/>
  <c r="EA66" i="1"/>
  <c r="DL66" i="1"/>
  <c r="ES62" i="1"/>
  <c r="EP62" i="1"/>
  <c r="EM62" i="1"/>
  <c r="ED62" i="1"/>
  <c r="EJ62" i="1"/>
  <c r="EG62" i="1"/>
  <c r="EA62" i="1"/>
  <c r="DR62" i="1"/>
  <c r="DL62" i="1"/>
  <c r="DO62" i="1"/>
  <c r="DC62" i="1"/>
  <c r="DX62" i="1"/>
  <c r="DF62" i="1"/>
  <c r="ES58" i="1"/>
  <c r="EM58" i="1"/>
  <c r="ED58" i="1"/>
  <c r="EP58" i="1"/>
  <c r="EJ58" i="1"/>
  <c r="DX58" i="1"/>
  <c r="DF58" i="1"/>
  <c r="EG58" i="1"/>
  <c r="DU58" i="1"/>
  <c r="DI58" i="1"/>
  <c r="DL58" i="1"/>
  <c r="EM54" i="1"/>
  <c r="EP54" i="1"/>
  <c r="ED54" i="1"/>
  <c r="ES54" i="1"/>
  <c r="EG54" i="1"/>
  <c r="EJ54" i="1"/>
  <c r="DU54" i="1"/>
  <c r="DL54" i="1"/>
  <c r="EA54" i="1"/>
  <c r="DR54" i="1"/>
  <c r="DO54" i="1"/>
  <c r="DC54" i="1"/>
  <c r="DB54" i="1" s="1"/>
  <c r="DF54" i="1"/>
  <c r="DE54" i="1" s="1"/>
  <c r="EJ50" i="1"/>
  <c r="EP50" i="1"/>
  <c r="ED50" i="1"/>
  <c r="EG50" i="1"/>
  <c r="DR50" i="1"/>
  <c r="EA50" i="1"/>
  <c r="DF50" i="1"/>
  <c r="EM50" i="1"/>
  <c r="DX50" i="1"/>
  <c r="DI50" i="1"/>
  <c r="DU50" i="1"/>
  <c r="DL50" i="1"/>
  <c r="EM46" i="1"/>
  <c r="ES46" i="1"/>
  <c r="ED46" i="1"/>
  <c r="EG46" i="1"/>
  <c r="EP46" i="1"/>
  <c r="DX46" i="1"/>
  <c r="DL46" i="1"/>
  <c r="DK46" i="1" s="1"/>
  <c r="DU46" i="1"/>
  <c r="DO46" i="1"/>
  <c r="DC46" i="1"/>
  <c r="EA46" i="1"/>
  <c r="DR46" i="1"/>
  <c r="DF46" i="1"/>
  <c r="EP42" i="1"/>
  <c r="EM42" i="1"/>
  <c r="EJ42" i="1"/>
  <c r="ES42" i="1"/>
  <c r="ED42" i="1"/>
  <c r="DF42" i="1"/>
  <c r="DR42" i="1"/>
  <c r="EA42" i="1"/>
  <c r="DI42" i="1"/>
  <c r="DX42" i="1"/>
  <c r="DL42" i="1"/>
  <c r="DK42" i="1" s="1"/>
  <c r="EM38" i="1"/>
  <c r="EP38" i="1"/>
  <c r="EJ38" i="1"/>
  <c r="ED38" i="1"/>
  <c r="ES38" i="1"/>
  <c r="EG38" i="1"/>
  <c r="DL38" i="1"/>
  <c r="DK38" i="1" s="1"/>
  <c r="DX38" i="1"/>
  <c r="DO38" i="1"/>
  <c r="DC38" i="1"/>
  <c r="DU38" i="1"/>
  <c r="DF38" i="1"/>
  <c r="ES34" i="1"/>
  <c r="EP34" i="1"/>
  <c r="ED34" i="1"/>
  <c r="EJ34" i="1"/>
  <c r="EM34" i="1"/>
  <c r="DU34" i="1"/>
  <c r="DF34" i="1"/>
  <c r="DE34" i="1" s="1"/>
  <c r="DI34" i="1"/>
  <c r="EG34" i="1"/>
  <c r="DR34" i="1"/>
  <c r="EA34" i="1"/>
  <c r="DL34" i="1"/>
  <c r="ES30" i="1"/>
  <c r="EP30" i="1"/>
  <c r="EM30" i="1"/>
  <c r="ED30" i="1"/>
  <c r="EJ30" i="1"/>
  <c r="EG30" i="1"/>
  <c r="DR30" i="1"/>
  <c r="DL30" i="1"/>
  <c r="EA30" i="1"/>
  <c r="DO30" i="1"/>
  <c r="DC30" i="1"/>
  <c r="DX30" i="1"/>
  <c r="DF30" i="1"/>
  <c r="ES26" i="1"/>
  <c r="EP26" i="1"/>
  <c r="EM26" i="1"/>
  <c r="ED26" i="1"/>
  <c r="EA26" i="1"/>
  <c r="DX26" i="1"/>
  <c r="DF26" i="1"/>
  <c r="EG26" i="1"/>
  <c r="EJ26" i="1"/>
  <c r="DU26" i="1"/>
  <c r="DI26" i="1"/>
  <c r="DL26" i="1"/>
  <c r="EM22" i="1"/>
  <c r="EP22" i="1"/>
  <c r="ED22" i="1"/>
  <c r="EG22" i="1"/>
  <c r="EJ22" i="1"/>
  <c r="ES22" i="1"/>
  <c r="DU22" i="1"/>
  <c r="DL22" i="1"/>
  <c r="DR22" i="1"/>
  <c r="DO22" i="1"/>
  <c r="DC22" i="1"/>
  <c r="DF22" i="1"/>
  <c r="EP18" i="1"/>
  <c r="EJ18" i="1"/>
  <c r="ES18" i="1"/>
  <c r="ED18" i="1"/>
  <c r="EG18" i="1"/>
  <c r="DR18" i="1"/>
  <c r="DF18" i="1"/>
  <c r="DX18" i="1"/>
  <c r="DI18" i="1"/>
  <c r="EA18" i="1"/>
  <c r="DU18" i="1"/>
  <c r="DL18" i="1"/>
  <c r="EM14" i="1"/>
  <c r="ES14" i="1"/>
  <c r="ED14" i="1"/>
  <c r="EG14" i="1"/>
  <c r="EJ14" i="1"/>
  <c r="DX14" i="1"/>
  <c r="DL14" i="1"/>
  <c r="EA14" i="1"/>
  <c r="DU14" i="1"/>
  <c r="DO14" i="1"/>
  <c r="DC14" i="1"/>
  <c r="EP14" i="1"/>
  <c r="DR14" i="1"/>
  <c r="DF14" i="1"/>
  <c r="EP10" i="1"/>
  <c r="ES10" i="1"/>
  <c r="EM10" i="1"/>
  <c r="EJ10" i="1"/>
  <c r="ED10" i="1"/>
  <c r="EA10" i="1"/>
  <c r="DF10" i="1"/>
  <c r="DR10" i="1"/>
  <c r="DI10" i="1"/>
  <c r="DX10" i="1"/>
  <c r="DL10" i="1"/>
  <c r="EM6" i="1"/>
  <c r="EJ6" i="1"/>
  <c r="ED6" i="1"/>
  <c r="EG6" i="1"/>
  <c r="EP6" i="1"/>
  <c r="DL6" i="1"/>
  <c r="ES6" i="1"/>
  <c r="DX6" i="1"/>
  <c r="DO6" i="1"/>
  <c r="DC6" i="1"/>
  <c r="DU6" i="1"/>
  <c r="DF6" i="1"/>
  <c r="CW269" i="1"/>
  <c r="CW253" i="1"/>
  <c r="CW237" i="1"/>
  <c r="CW213" i="1"/>
  <c r="CW205" i="1"/>
  <c r="CW197" i="1"/>
  <c r="CW173" i="1"/>
  <c r="CW141" i="1"/>
  <c r="CW125" i="1"/>
  <c r="CW109" i="1"/>
  <c r="CW77" i="1"/>
  <c r="CW69" i="1"/>
  <c r="CW45" i="1"/>
  <c r="CW13" i="1"/>
  <c r="DC145" i="1"/>
  <c r="DC49" i="1"/>
  <c r="DF255" i="1"/>
  <c r="DF223" i="1"/>
  <c r="DE223" i="1" s="1"/>
  <c r="DF191" i="1"/>
  <c r="DF159" i="1"/>
  <c r="DF127" i="1"/>
  <c r="DF95" i="1"/>
  <c r="DE95" i="1" s="1"/>
  <c r="DF63" i="1"/>
  <c r="DF31" i="1"/>
  <c r="DL251" i="1"/>
  <c r="DL219" i="1"/>
  <c r="DL187" i="1"/>
  <c r="DL155" i="1"/>
  <c r="DK155" i="1" s="1"/>
  <c r="DL123" i="1"/>
  <c r="DL91" i="1"/>
  <c r="DL59" i="1"/>
  <c r="DL27" i="1"/>
  <c r="DR239" i="1"/>
  <c r="DR154" i="1"/>
  <c r="DR111" i="1"/>
  <c r="DR26" i="1"/>
  <c r="DU211" i="1"/>
  <c r="DU168" i="1"/>
  <c r="DU125" i="1"/>
  <c r="DU83" i="1"/>
  <c r="DX267" i="1"/>
  <c r="DX182" i="1"/>
  <c r="DX139" i="1"/>
  <c r="DX54" i="1"/>
  <c r="DX11" i="1"/>
  <c r="EA239" i="1"/>
  <c r="EA196" i="1"/>
  <c r="EA153" i="1"/>
  <c r="EA111" i="1"/>
  <c r="EA68" i="1"/>
  <c r="EA22" i="1"/>
  <c r="ED228" i="1"/>
  <c r="ED28" i="1"/>
  <c r="EG170" i="1"/>
  <c r="EG42" i="1"/>
  <c r="EJ184" i="1"/>
  <c r="EJ46" i="1"/>
  <c r="EP120" i="1"/>
  <c r="DA162" i="1"/>
  <c r="CY162" i="1" s="1"/>
  <c r="DJ266" i="1"/>
  <c r="ET248" i="1"/>
  <c r="EN248" i="1"/>
  <c r="EQ248" i="1"/>
  <c r="EK248" i="1"/>
  <c r="EH248" i="1"/>
  <c r="EE248" i="1"/>
  <c r="DY248" i="1"/>
  <c r="EB248" i="1"/>
  <c r="DP248" i="1"/>
  <c r="DS248" i="1"/>
  <c r="DJ248" i="1"/>
  <c r="DV248" i="1"/>
  <c r="DA248" i="1"/>
  <c r="CY248" i="1" s="1"/>
  <c r="DD248" i="1"/>
  <c r="DM248" i="1"/>
  <c r="DG248" i="1"/>
  <c r="DE248" i="1" s="1"/>
  <c r="CX248" i="1"/>
  <c r="ET220" i="1"/>
  <c r="EN220" i="1"/>
  <c r="EQ220" i="1"/>
  <c r="EK220" i="1"/>
  <c r="EH220" i="1"/>
  <c r="DY220" i="1"/>
  <c r="EB220" i="1"/>
  <c r="DV220" i="1"/>
  <c r="EE220" i="1"/>
  <c r="DJ220" i="1"/>
  <c r="DS220" i="1"/>
  <c r="DP220" i="1"/>
  <c r="DM220" i="1"/>
  <c r="DD220" i="1"/>
  <c r="DG220" i="1"/>
  <c r="DA220" i="1"/>
  <c r="CY220" i="1" s="1"/>
  <c r="CX220" i="1"/>
  <c r="ET188" i="1"/>
  <c r="EN188" i="1"/>
  <c r="EQ188" i="1"/>
  <c r="EK188" i="1"/>
  <c r="EH188" i="1"/>
  <c r="DY188" i="1"/>
  <c r="EE188" i="1"/>
  <c r="EB188" i="1"/>
  <c r="DV188" i="1"/>
  <c r="DJ188" i="1"/>
  <c r="DP188" i="1"/>
  <c r="DS188" i="1"/>
  <c r="DM188" i="1"/>
  <c r="DK188" i="1" s="1"/>
  <c r="DD188" i="1"/>
  <c r="DG188" i="1"/>
  <c r="CX188" i="1"/>
  <c r="DA188" i="1"/>
  <c r="CY188" i="1" s="1"/>
  <c r="ET164" i="1"/>
  <c r="EN164" i="1"/>
  <c r="EQ164" i="1"/>
  <c r="EK164" i="1"/>
  <c r="EH164" i="1"/>
  <c r="DY164" i="1"/>
  <c r="DV164" i="1"/>
  <c r="DM164" i="1"/>
  <c r="DJ164" i="1"/>
  <c r="DS164" i="1"/>
  <c r="DP164" i="1"/>
  <c r="EB164" i="1"/>
  <c r="EE164" i="1"/>
  <c r="DD164" i="1"/>
  <c r="DG164" i="1"/>
  <c r="CX164" i="1"/>
  <c r="CV164" i="1" s="1"/>
  <c r="EQ140" i="1"/>
  <c r="ET140" i="1"/>
  <c r="EN140" i="1"/>
  <c r="EK140" i="1"/>
  <c r="EH140" i="1"/>
  <c r="DY140" i="1"/>
  <c r="DV140" i="1"/>
  <c r="EE140" i="1"/>
  <c r="EB140" i="1"/>
  <c r="DJ140" i="1"/>
  <c r="DD140" i="1"/>
  <c r="DM140" i="1"/>
  <c r="DK140" i="1" s="1"/>
  <c r="DP140" i="1"/>
  <c r="CX140" i="1"/>
  <c r="DS140" i="1"/>
  <c r="DA140" i="1"/>
  <c r="CY140" i="1" s="1"/>
  <c r="DG140" i="1"/>
  <c r="EQ116" i="1"/>
  <c r="ET116" i="1"/>
  <c r="EN116" i="1"/>
  <c r="EK116" i="1"/>
  <c r="EE116" i="1"/>
  <c r="EB116" i="1"/>
  <c r="DY116" i="1"/>
  <c r="DV116" i="1"/>
  <c r="EH116" i="1"/>
  <c r="DJ116" i="1"/>
  <c r="DS116" i="1"/>
  <c r="DM116" i="1"/>
  <c r="DD116" i="1"/>
  <c r="DP116" i="1"/>
  <c r="DG116" i="1"/>
  <c r="DA116" i="1"/>
  <c r="CY116" i="1" s="1"/>
  <c r="CX116" i="1"/>
  <c r="EQ92" i="1"/>
  <c r="ET92" i="1"/>
  <c r="EN92" i="1"/>
  <c r="EK92" i="1"/>
  <c r="EH92" i="1"/>
  <c r="DY92" i="1"/>
  <c r="DV92" i="1"/>
  <c r="EB92" i="1"/>
  <c r="DJ92" i="1"/>
  <c r="DM92" i="1"/>
  <c r="DS92" i="1"/>
  <c r="EE92" i="1"/>
  <c r="DP92" i="1"/>
  <c r="DD92" i="1"/>
  <c r="DG92" i="1"/>
  <c r="DA92" i="1"/>
  <c r="CY92" i="1" s="1"/>
  <c r="CX92" i="1"/>
  <c r="EQ64" i="1"/>
  <c r="ET64" i="1"/>
  <c r="EN64" i="1"/>
  <c r="EH64" i="1"/>
  <c r="EK64" i="1"/>
  <c r="EE64" i="1"/>
  <c r="DY64" i="1"/>
  <c r="EB64" i="1"/>
  <c r="DP64" i="1"/>
  <c r="DM64" i="1"/>
  <c r="DJ64" i="1"/>
  <c r="DS64" i="1"/>
  <c r="DV64" i="1"/>
  <c r="DG64" i="1"/>
  <c r="DA64" i="1"/>
  <c r="CY64" i="1" s="1"/>
  <c r="DD64" i="1"/>
  <c r="CX64" i="1"/>
  <c r="CV64" i="1" s="1"/>
  <c r="EQ44" i="1"/>
  <c r="ET44" i="1"/>
  <c r="EN44" i="1"/>
  <c r="EK44" i="1"/>
  <c r="EH44" i="1"/>
  <c r="EB44" i="1"/>
  <c r="DY44" i="1"/>
  <c r="EE44" i="1"/>
  <c r="DV44" i="1"/>
  <c r="DJ44" i="1"/>
  <c r="DP44" i="1"/>
  <c r="DD44" i="1"/>
  <c r="DS44" i="1"/>
  <c r="CX44" i="1"/>
  <c r="DM44" i="1"/>
  <c r="DK44" i="1" s="1"/>
  <c r="DA44" i="1"/>
  <c r="CY44" i="1" s="1"/>
  <c r="DG44" i="1"/>
  <c r="EQ20" i="1"/>
  <c r="ET20" i="1"/>
  <c r="EN20" i="1"/>
  <c r="EK20" i="1"/>
  <c r="EH20" i="1"/>
  <c r="EB20" i="1"/>
  <c r="EE20" i="1"/>
  <c r="DY20" i="1"/>
  <c r="DJ20" i="1"/>
  <c r="DV20" i="1"/>
  <c r="DS20" i="1"/>
  <c r="DD20" i="1"/>
  <c r="DG20" i="1"/>
  <c r="DP20" i="1"/>
  <c r="DM20" i="1"/>
  <c r="DA20" i="1"/>
  <c r="CY20" i="1" s="1"/>
  <c r="CX20" i="1"/>
  <c r="ES268" i="1"/>
  <c r="EP268" i="1"/>
  <c r="EG268" i="1"/>
  <c r="EM268" i="1"/>
  <c r="EJ268" i="1"/>
  <c r="DU268" i="1"/>
  <c r="DO268" i="1"/>
  <c r="DC268" i="1"/>
  <c r="ED268" i="1"/>
  <c r="DR268" i="1"/>
  <c r="DF268" i="1"/>
  <c r="EA268" i="1"/>
  <c r="DI268" i="1"/>
  <c r="EP240" i="1"/>
  <c r="ES240" i="1"/>
  <c r="EG240" i="1"/>
  <c r="EM240" i="1"/>
  <c r="DX240" i="1"/>
  <c r="DI240" i="1"/>
  <c r="DL240" i="1"/>
  <c r="DK240" i="1" s="1"/>
  <c r="EJ240" i="1"/>
  <c r="DU240" i="1"/>
  <c r="ED240" i="1"/>
  <c r="DO240" i="1"/>
  <c r="DC240" i="1"/>
  <c r="ES216" i="1"/>
  <c r="EP216" i="1"/>
  <c r="EM216" i="1"/>
  <c r="EG216" i="1"/>
  <c r="ED216" i="1"/>
  <c r="DI216" i="1"/>
  <c r="DH216" i="1" s="1"/>
  <c r="DU216" i="1"/>
  <c r="DL216" i="1"/>
  <c r="DK216" i="1" s="1"/>
  <c r="EA216" i="1"/>
  <c r="DR216" i="1"/>
  <c r="DO216" i="1"/>
  <c r="DC216" i="1"/>
  <c r="EP192" i="1"/>
  <c r="EM192" i="1"/>
  <c r="ES192" i="1"/>
  <c r="EG192" i="1"/>
  <c r="EJ192" i="1"/>
  <c r="DU192" i="1"/>
  <c r="DI192" i="1"/>
  <c r="EA192" i="1"/>
  <c r="DR192" i="1"/>
  <c r="DL192" i="1"/>
  <c r="ED192" i="1"/>
  <c r="DX192" i="1"/>
  <c r="DO192" i="1"/>
  <c r="DC192" i="1"/>
  <c r="EP180" i="1"/>
  <c r="ES180" i="1"/>
  <c r="EM180" i="1"/>
  <c r="EG180" i="1"/>
  <c r="EJ180" i="1"/>
  <c r="DR180" i="1"/>
  <c r="DO180" i="1"/>
  <c r="DC180" i="1"/>
  <c r="DB180" i="1" s="1"/>
  <c r="EA180" i="1"/>
  <c r="DF180" i="1"/>
  <c r="DX180" i="1"/>
  <c r="DI180" i="1"/>
  <c r="EG156" i="1"/>
  <c r="EJ156" i="1"/>
  <c r="EP156" i="1"/>
  <c r="EM156" i="1"/>
  <c r="EA156" i="1"/>
  <c r="ES156" i="1"/>
  <c r="DO156" i="1"/>
  <c r="DC156" i="1"/>
  <c r="DX156" i="1"/>
  <c r="DF156" i="1"/>
  <c r="DU156" i="1"/>
  <c r="DI156" i="1"/>
  <c r="ES132" i="1"/>
  <c r="EM132" i="1"/>
  <c r="EG132" i="1"/>
  <c r="EJ132" i="1"/>
  <c r="EP132" i="1"/>
  <c r="ED132" i="1"/>
  <c r="DX132" i="1"/>
  <c r="DO132" i="1"/>
  <c r="DC132" i="1"/>
  <c r="DU132" i="1"/>
  <c r="DF132" i="1"/>
  <c r="DR132" i="1"/>
  <c r="DI132" i="1"/>
  <c r="ES108" i="1"/>
  <c r="EP108" i="1"/>
  <c r="EG108" i="1"/>
  <c r="EJ108" i="1"/>
  <c r="EM108" i="1"/>
  <c r="DU108" i="1"/>
  <c r="DO108" i="1"/>
  <c r="DC108" i="1"/>
  <c r="ED108" i="1"/>
  <c r="DR108" i="1"/>
  <c r="DF108" i="1"/>
  <c r="EA108" i="1"/>
  <c r="DI108" i="1"/>
  <c r="EP80" i="1"/>
  <c r="EJ80" i="1"/>
  <c r="ES80" i="1"/>
  <c r="EM80" i="1"/>
  <c r="ED80" i="1"/>
  <c r="EG80" i="1"/>
  <c r="DX80" i="1"/>
  <c r="DI80" i="1"/>
  <c r="DL80" i="1"/>
  <c r="DU80" i="1"/>
  <c r="DO80" i="1"/>
  <c r="DC80" i="1"/>
  <c r="EP60" i="1"/>
  <c r="EG60" i="1"/>
  <c r="EJ60" i="1"/>
  <c r="ES60" i="1"/>
  <c r="EM60" i="1"/>
  <c r="EA60" i="1"/>
  <c r="DO60" i="1"/>
  <c r="DC60" i="1"/>
  <c r="DX60" i="1"/>
  <c r="DF60" i="1"/>
  <c r="DU60" i="1"/>
  <c r="DI60" i="1"/>
  <c r="EJ40" i="1"/>
  <c r="EM40" i="1"/>
  <c r="EP40" i="1"/>
  <c r="ED40" i="1"/>
  <c r="ES40" i="1"/>
  <c r="EG40" i="1"/>
  <c r="EA40" i="1"/>
  <c r="DR40" i="1"/>
  <c r="DI40" i="1"/>
  <c r="DH40" i="1" s="1"/>
  <c r="DX40" i="1"/>
  <c r="DL40" i="1"/>
  <c r="DO40" i="1"/>
  <c r="DC40" i="1"/>
  <c r="EP20" i="1"/>
  <c r="EM20" i="1"/>
  <c r="EG20" i="1"/>
  <c r="EJ20" i="1"/>
  <c r="ES20" i="1"/>
  <c r="EA20" i="1"/>
  <c r="DR20" i="1"/>
  <c r="DO20" i="1"/>
  <c r="DC20" i="1"/>
  <c r="DB20" i="1" s="1"/>
  <c r="DF20" i="1"/>
  <c r="ED20" i="1"/>
  <c r="DX20" i="1"/>
  <c r="DI20" i="1"/>
  <c r="EM3" i="1"/>
  <c r="ES3" i="1"/>
  <c r="EP3" i="1"/>
  <c r="EA3" i="1"/>
  <c r="ED3" i="1"/>
  <c r="DR3" i="1"/>
  <c r="DX3" i="1"/>
  <c r="DO3" i="1"/>
  <c r="DC3" i="1"/>
  <c r="DU3" i="1"/>
  <c r="DF3" i="1"/>
  <c r="DI3" i="1"/>
  <c r="EG3" i="1"/>
  <c r="ET269" i="1"/>
  <c r="EN269" i="1"/>
  <c r="EK269" i="1"/>
  <c r="EQ269" i="1"/>
  <c r="EE269" i="1"/>
  <c r="EH269" i="1"/>
  <c r="EB269" i="1"/>
  <c r="DY269" i="1"/>
  <c r="DV269" i="1"/>
  <c r="DP269" i="1"/>
  <c r="DJ269" i="1"/>
  <c r="DH269" i="1" s="1"/>
  <c r="DS269" i="1"/>
  <c r="DA269" i="1"/>
  <c r="CY269" i="1" s="1"/>
  <c r="DD269" i="1"/>
  <c r="CX269" i="1"/>
  <c r="DG269" i="1"/>
  <c r="DM269" i="1"/>
  <c r="ET265" i="1"/>
  <c r="EH265" i="1"/>
  <c r="EN265" i="1"/>
  <c r="EQ265" i="1"/>
  <c r="EK265" i="1"/>
  <c r="EE265" i="1"/>
  <c r="EB265" i="1"/>
  <c r="DS265" i="1"/>
  <c r="DV265" i="1"/>
  <c r="DP265" i="1"/>
  <c r="DJ265" i="1"/>
  <c r="DD265" i="1"/>
  <c r="DY265" i="1"/>
  <c r="DG265" i="1"/>
  <c r="DM265" i="1"/>
  <c r="DA265" i="1"/>
  <c r="CY265" i="1" s="1"/>
  <c r="CX265" i="1"/>
  <c r="ET261" i="1"/>
  <c r="EN261" i="1"/>
  <c r="EK261" i="1"/>
  <c r="EQ261" i="1"/>
  <c r="EE261" i="1"/>
  <c r="EH261" i="1"/>
  <c r="DV261" i="1"/>
  <c r="DP261" i="1"/>
  <c r="DJ261" i="1"/>
  <c r="DY261" i="1"/>
  <c r="DS261" i="1"/>
  <c r="DA261" i="1"/>
  <c r="CY261" i="1" s="1"/>
  <c r="DD261" i="1"/>
  <c r="EB261" i="1"/>
  <c r="CX261" i="1"/>
  <c r="CV261" i="1" s="1"/>
  <c r="DG261" i="1"/>
  <c r="DM261" i="1"/>
  <c r="ET257" i="1"/>
  <c r="EQ257" i="1"/>
  <c r="EH257" i="1"/>
  <c r="EE257" i="1"/>
  <c r="EN257" i="1"/>
  <c r="EK257" i="1"/>
  <c r="DY257" i="1"/>
  <c r="DS257" i="1"/>
  <c r="EB257" i="1"/>
  <c r="DV257" i="1"/>
  <c r="DP257" i="1"/>
  <c r="DJ257" i="1"/>
  <c r="DD257" i="1"/>
  <c r="DB257" i="1" s="1"/>
  <c r="DG257" i="1"/>
  <c r="DM257" i="1"/>
  <c r="CX257" i="1"/>
  <c r="DA257" i="1"/>
  <c r="CY257" i="1" s="1"/>
  <c r="ET253" i="1"/>
  <c r="EN253" i="1"/>
  <c r="EK253" i="1"/>
  <c r="EE253" i="1"/>
  <c r="EH253" i="1"/>
  <c r="EQ253" i="1"/>
  <c r="EB253" i="1"/>
  <c r="DV253" i="1"/>
  <c r="DY253" i="1"/>
  <c r="DJ253" i="1"/>
  <c r="DS253" i="1"/>
  <c r="DA253" i="1"/>
  <c r="CY253" i="1" s="1"/>
  <c r="DP253" i="1"/>
  <c r="DD253" i="1"/>
  <c r="CX253" i="1"/>
  <c r="DG253" i="1"/>
  <c r="DM253" i="1"/>
  <c r="ET249" i="1"/>
  <c r="EN249" i="1"/>
  <c r="EH249" i="1"/>
  <c r="EQ249" i="1"/>
  <c r="EK249" i="1"/>
  <c r="EE249" i="1"/>
  <c r="EB249" i="1"/>
  <c r="DY249" i="1"/>
  <c r="DJ249" i="1"/>
  <c r="DV249" i="1"/>
  <c r="DD249" i="1"/>
  <c r="DS249" i="1"/>
  <c r="DG249" i="1"/>
  <c r="DM249" i="1"/>
  <c r="CX249" i="1"/>
  <c r="DA249" i="1"/>
  <c r="CY249" i="1" s="1"/>
  <c r="DP249" i="1"/>
  <c r="ET245" i="1"/>
  <c r="EN245" i="1"/>
  <c r="EK245" i="1"/>
  <c r="EQ245" i="1"/>
  <c r="EH245" i="1"/>
  <c r="EE245" i="1"/>
  <c r="DV245" i="1"/>
  <c r="DJ245" i="1"/>
  <c r="EB245" i="1"/>
  <c r="DP245" i="1"/>
  <c r="DY245" i="1"/>
  <c r="DS245" i="1"/>
  <c r="DA245" i="1"/>
  <c r="CY245" i="1" s="1"/>
  <c r="DD245" i="1"/>
  <c r="DM245" i="1"/>
  <c r="CX245" i="1"/>
  <c r="CV245" i="1" s="1"/>
  <c r="DG245" i="1"/>
  <c r="ET241" i="1"/>
  <c r="EQ241" i="1"/>
  <c r="EH241" i="1"/>
  <c r="EK241" i="1"/>
  <c r="EN241" i="1"/>
  <c r="EE241" i="1"/>
  <c r="DY241" i="1"/>
  <c r="EB241" i="1"/>
  <c r="DV241" i="1"/>
  <c r="DS241" i="1"/>
  <c r="DJ241" i="1"/>
  <c r="DP241" i="1"/>
  <c r="DD241" i="1"/>
  <c r="DB241" i="1" s="1"/>
  <c r="DG241" i="1"/>
  <c r="DM241" i="1"/>
  <c r="DA241" i="1"/>
  <c r="CY241" i="1" s="1"/>
  <c r="CX241" i="1"/>
  <c r="ET237" i="1"/>
  <c r="EN237" i="1"/>
  <c r="EK237" i="1"/>
  <c r="EE237" i="1"/>
  <c r="EH237" i="1"/>
  <c r="EQ237" i="1"/>
  <c r="EB237" i="1"/>
  <c r="DV237" i="1"/>
  <c r="DS237" i="1"/>
  <c r="DJ237" i="1"/>
  <c r="DH237" i="1" s="1"/>
  <c r="DY237" i="1"/>
  <c r="DP237" i="1"/>
  <c r="DA237" i="1"/>
  <c r="CY237" i="1" s="1"/>
  <c r="DD237" i="1"/>
  <c r="CX237" i="1"/>
  <c r="DM237" i="1"/>
  <c r="DG237" i="1"/>
  <c r="ET233" i="1"/>
  <c r="EN233" i="1"/>
  <c r="EH233" i="1"/>
  <c r="EQ233" i="1"/>
  <c r="EE233" i="1"/>
  <c r="EK233" i="1"/>
  <c r="EB233" i="1"/>
  <c r="DY233" i="1"/>
  <c r="DP233" i="1"/>
  <c r="DV233" i="1"/>
  <c r="DS233" i="1"/>
  <c r="DJ233" i="1"/>
  <c r="DD233" i="1"/>
  <c r="DG233" i="1"/>
  <c r="DA233" i="1"/>
  <c r="CY233" i="1" s="1"/>
  <c r="DM233" i="1"/>
  <c r="ET229" i="1"/>
  <c r="EN229" i="1"/>
  <c r="EK229" i="1"/>
  <c r="EQ229" i="1"/>
  <c r="EE229" i="1"/>
  <c r="EH229" i="1"/>
  <c r="DY229" i="1"/>
  <c r="DV229" i="1"/>
  <c r="DJ229" i="1"/>
  <c r="DP229" i="1"/>
  <c r="DA229" i="1"/>
  <c r="CY229" i="1" s="1"/>
  <c r="DS229" i="1"/>
  <c r="EB229" i="1"/>
  <c r="DD229" i="1"/>
  <c r="CX229" i="1"/>
  <c r="CV229" i="1" s="1"/>
  <c r="DM229" i="1"/>
  <c r="DG229" i="1"/>
  <c r="ET225" i="1"/>
  <c r="EQ225" i="1"/>
  <c r="EH225" i="1"/>
  <c r="EK225" i="1"/>
  <c r="EE225" i="1"/>
  <c r="EN225" i="1"/>
  <c r="DP225" i="1"/>
  <c r="EB225" i="1"/>
  <c r="DY225" i="1"/>
  <c r="DV225" i="1"/>
  <c r="DJ225" i="1"/>
  <c r="DD225" i="1"/>
  <c r="DS225" i="1"/>
  <c r="DG225" i="1"/>
  <c r="DM225" i="1"/>
  <c r="CX225" i="1"/>
  <c r="DA225" i="1"/>
  <c r="CY225" i="1" s="1"/>
  <c r="ET221" i="1"/>
  <c r="EN221" i="1"/>
  <c r="EK221" i="1"/>
  <c r="EE221" i="1"/>
  <c r="EQ221" i="1"/>
  <c r="EH221" i="1"/>
  <c r="DY221" i="1"/>
  <c r="EB221" i="1"/>
  <c r="DV221" i="1"/>
  <c r="DJ221" i="1"/>
  <c r="DS221" i="1"/>
  <c r="DP221" i="1"/>
  <c r="DA221" i="1"/>
  <c r="CY221" i="1" s="1"/>
  <c r="DD221" i="1"/>
  <c r="CX221" i="1"/>
  <c r="CV221" i="1" s="1"/>
  <c r="DM221" i="1"/>
  <c r="DG221" i="1"/>
  <c r="ET217" i="1"/>
  <c r="EN217" i="1"/>
  <c r="EH217" i="1"/>
  <c r="EQ217" i="1"/>
  <c r="EE217" i="1"/>
  <c r="EB217" i="1"/>
  <c r="EK217" i="1"/>
  <c r="DS217" i="1"/>
  <c r="DY217" i="1"/>
  <c r="DJ217" i="1"/>
  <c r="DP217" i="1"/>
  <c r="DD217" i="1"/>
  <c r="DB217" i="1" s="1"/>
  <c r="DV217" i="1"/>
  <c r="DG217" i="1"/>
  <c r="DM217" i="1"/>
  <c r="DA217" i="1"/>
  <c r="CY217" i="1" s="1"/>
  <c r="CX217" i="1"/>
  <c r="ET213" i="1"/>
  <c r="EN213" i="1"/>
  <c r="EK213" i="1"/>
  <c r="EQ213" i="1"/>
  <c r="EH213" i="1"/>
  <c r="EE213" i="1"/>
  <c r="DY213" i="1"/>
  <c r="DV213" i="1"/>
  <c r="DJ213" i="1"/>
  <c r="EB213" i="1"/>
  <c r="DA213" i="1"/>
  <c r="CY213" i="1" s="1"/>
  <c r="DD213" i="1"/>
  <c r="DP213" i="1"/>
  <c r="DM213" i="1"/>
  <c r="DS213" i="1"/>
  <c r="CX213" i="1"/>
  <c r="DG213" i="1"/>
  <c r="ET209" i="1"/>
  <c r="EQ209" i="1"/>
  <c r="EH209" i="1"/>
  <c r="EN209" i="1"/>
  <c r="EK209" i="1"/>
  <c r="EE209" i="1"/>
  <c r="EB209" i="1"/>
  <c r="DV209" i="1"/>
  <c r="DM209" i="1"/>
  <c r="DP209" i="1"/>
  <c r="DJ209" i="1"/>
  <c r="DD209" i="1"/>
  <c r="DB209" i="1" s="1"/>
  <c r="DG209" i="1"/>
  <c r="DY209" i="1"/>
  <c r="DS209" i="1"/>
  <c r="CX209" i="1"/>
  <c r="DA209" i="1"/>
  <c r="CY209" i="1" s="1"/>
  <c r="ET205" i="1"/>
  <c r="EN205" i="1"/>
  <c r="EK205" i="1"/>
  <c r="EQ205" i="1"/>
  <c r="EE205" i="1"/>
  <c r="EH205" i="1"/>
  <c r="EB205" i="1"/>
  <c r="DY205" i="1"/>
  <c r="DV205" i="1"/>
  <c r="DS205" i="1"/>
  <c r="DP205" i="1"/>
  <c r="DJ205" i="1"/>
  <c r="DH205" i="1" s="1"/>
  <c r="DM205" i="1"/>
  <c r="DA205" i="1"/>
  <c r="CY205" i="1" s="1"/>
  <c r="DD205" i="1"/>
  <c r="CX205" i="1"/>
  <c r="DG205" i="1"/>
  <c r="ET201" i="1"/>
  <c r="EN201" i="1"/>
  <c r="EH201" i="1"/>
  <c r="EQ201" i="1"/>
  <c r="EK201" i="1"/>
  <c r="EE201" i="1"/>
  <c r="EB201" i="1"/>
  <c r="DY201" i="1"/>
  <c r="DM201" i="1"/>
  <c r="DV201" i="1"/>
  <c r="DS201" i="1"/>
  <c r="DP201" i="1"/>
  <c r="DJ201" i="1"/>
  <c r="DD201" i="1"/>
  <c r="DG201" i="1"/>
  <c r="DA201" i="1"/>
  <c r="CY201" i="1" s="1"/>
  <c r="CX201" i="1"/>
  <c r="ET197" i="1"/>
  <c r="EN197" i="1"/>
  <c r="EK197" i="1"/>
  <c r="EQ197" i="1"/>
  <c r="EE197" i="1"/>
  <c r="EH197" i="1"/>
  <c r="DV197" i="1"/>
  <c r="DY197" i="1"/>
  <c r="DP197" i="1"/>
  <c r="DJ197" i="1"/>
  <c r="DM197" i="1"/>
  <c r="EB197" i="1"/>
  <c r="DS197" i="1"/>
  <c r="DA197" i="1"/>
  <c r="CY197" i="1" s="1"/>
  <c r="DD197" i="1"/>
  <c r="CX197" i="1"/>
  <c r="DG197" i="1"/>
  <c r="ET193" i="1"/>
  <c r="EQ193" i="1"/>
  <c r="EH193" i="1"/>
  <c r="EN193" i="1"/>
  <c r="EE193" i="1"/>
  <c r="DY193" i="1"/>
  <c r="EK193" i="1"/>
  <c r="EB193" i="1"/>
  <c r="DV193" i="1"/>
  <c r="DP193" i="1"/>
  <c r="DJ193" i="1"/>
  <c r="DS193" i="1"/>
  <c r="DD193" i="1"/>
  <c r="DG193" i="1"/>
  <c r="DM193" i="1"/>
  <c r="CX193" i="1"/>
  <c r="DA193" i="1"/>
  <c r="CY193" i="1" s="1"/>
  <c r="ET189" i="1"/>
  <c r="EN189" i="1"/>
  <c r="EK189" i="1"/>
  <c r="EE189" i="1"/>
  <c r="EQ189" i="1"/>
  <c r="EH189" i="1"/>
  <c r="DY189" i="1"/>
  <c r="EB189" i="1"/>
  <c r="DV189" i="1"/>
  <c r="DJ189" i="1"/>
  <c r="DS189" i="1"/>
  <c r="DM189" i="1"/>
  <c r="DA189" i="1"/>
  <c r="CY189" i="1" s="1"/>
  <c r="DD189" i="1"/>
  <c r="CX189" i="1"/>
  <c r="CV189" i="1" s="1"/>
  <c r="DP189" i="1"/>
  <c r="DG189" i="1"/>
  <c r="EN185" i="1"/>
  <c r="EH185" i="1"/>
  <c r="ET185" i="1"/>
  <c r="EQ185" i="1"/>
  <c r="EK185" i="1"/>
  <c r="EE185" i="1"/>
  <c r="DY185" i="1"/>
  <c r="EB185" i="1"/>
  <c r="DS185" i="1"/>
  <c r="DJ185" i="1"/>
  <c r="DD185" i="1"/>
  <c r="DG185" i="1"/>
  <c r="DV185" i="1"/>
  <c r="DP185" i="1"/>
  <c r="DM185" i="1"/>
  <c r="DA185" i="1"/>
  <c r="CY185" i="1" s="1"/>
  <c r="CX185" i="1"/>
  <c r="ET181" i="1"/>
  <c r="EN181" i="1"/>
  <c r="EK181" i="1"/>
  <c r="EQ181" i="1"/>
  <c r="EH181" i="1"/>
  <c r="EE181" i="1"/>
  <c r="DV181" i="1"/>
  <c r="DJ181" i="1"/>
  <c r="EB181" i="1"/>
  <c r="DP181" i="1"/>
  <c r="DY181" i="1"/>
  <c r="DA181" i="1"/>
  <c r="CY181" i="1" s="1"/>
  <c r="DD181" i="1"/>
  <c r="DM181" i="1"/>
  <c r="CX181" i="1"/>
  <c r="CV181" i="1" s="1"/>
  <c r="DS181" i="1"/>
  <c r="DG181" i="1"/>
  <c r="EQ177" i="1"/>
  <c r="EH177" i="1"/>
  <c r="ET177" i="1"/>
  <c r="EK177" i="1"/>
  <c r="EE177" i="1"/>
  <c r="DY177" i="1"/>
  <c r="EB177" i="1"/>
  <c r="EN177" i="1"/>
  <c r="DV177" i="1"/>
  <c r="DS177" i="1"/>
  <c r="DM177" i="1"/>
  <c r="DJ177" i="1"/>
  <c r="DD177" i="1"/>
  <c r="DB177" i="1" s="1"/>
  <c r="DP177" i="1"/>
  <c r="DG177" i="1"/>
  <c r="DA177" i="1"/>
  <c r="CY177" i="1" s="1"/>
  <c r="CX177" i="1"/>
  <c r="ET173" i="1"/>
  <c r="EN173" i="1"/>
  <c r="EK173" i="1"/>
  <c r="EE173" i="1"/>
  <c r="EH173" i="1"/>
  <c r="EQ173" i="1"/>
  <c r="DY173" i="1"/>
  <c r="EB173" i="1"/>
  <c r="DV173" i="1"/>
  <c r="DS173" i="1"/>
  <c r="DM173" i="1"/>
  <c r="DJ173" i="1"/>
  <c r="DH173" i="1" s="1"/>
  <c r="DP173" i="1"/>
  <c r="DA173" i="1"/>
  <c r="CY173" i="1" s="1"/>
  <c r="DD173" i="1"/>
  <c r="CX173" i="1"/>
  <c r="DG173" i="1"/>
  <c r="ET169" i="1"/>
  <c r="EN169" i="1"/>
  <c r="EH169" i="1"/>
  <c r="EQ169" i="1"/>
  <c r="EE169" i="1"/>
  <c r="EK169" i="1"/>
  <c r="DY169" i="1"/>
  <c r="EB169" i="1"/>
  <c r="DP169" i="1"/>
  <c r="DS169" i="1"/>
  <c r="DV169" i="1"/>
  <c r="DM169" i="1"/>
  <c r="DJ169" i="1"/>
  <c r="DD169" i="1"/>
  <c r="DG169" i="1"/>
  <c r="DA169" i="1"/>
  <c r="CY169" i="1" s="1"/>
  <c r="CX169" i="1"/>
  <c r="ET165" i="1"/>
  <c r="EN165" i="1"/>
  <c r="EK165" i="1"/>
  <c r="EQ165" i="1"/>
  <c r="EE165" i="1"/>
  <c r="EH165" i="1"/>
  <c r="DV165" i="1"/>
  <c r="DY165" i="1"/>
  <c r="DM165" i="1"/>
  <c r="DJ165" i="1"/>
  <c r="DS165" i="1"/>
  <c r="DP165" i="1"/>
  <c r="EB165" i="1"/>
  <c r="DA165" i="1"/>
  <c r="CY165" i="1" s="1"/>
  <c r="DD165" i="1"/>
  <c r="CX165" i="1"/>
  <c r="CV165" i="1" s="1"/>
  <c r="DG165" i="1"/>
  <c r="ET161" i="1"/>
  <c r="EQ161" i="1"/>
  <c r="EH161" i="1"/>
  <c r="EK161" i="1"/>
  <c r="EE161" i="1"/>
  <c r="EN161" i="1"/>
  <c r="DY161" i="1"/>
  <c r="DV161" i="1"/>
  <c r="DP161" i="1"/>
  <c r="EB161" i="1"/>
  <c r="DJ161" i="1"/>
  <c r="DD161" i="1"/>
  <c r="DS161" i="1"/>
  <c r="DG161" i="1"/>
  <c r="CX161" i="1"/>
  <c r="DA161" i="1"/>
  <c r="CY161" i="1" s="1"/>
  <c r="DM161" i="1"/>
  <c r="ET157" i="1"/>
  <c r="EN157" i="1"/>
  <c r="EK157" i="1"/>
  <c r="EE157" i="1"/>
  <c r="EQ157" i="1"/>
  <c r="EB157" i="1"/>
  <c r="EH157" i="1"/>
  <c r="DY157" i="1"/>
  <c r="DV157" i="1"/>
  <c r="DJ157" i="1"/>
  <c r="DS157" i="1"/>
  <c r="DA157" i="1"/>
  <c r="CY157" i="1" s="1"/>
  <c r="DP157" i="1"/>
  <c r="DM157" i="1"/>
  <c r="DD157" i="1"/>
  <c r="CX157" i="1"/>
  <c r="CV157" i="1" s="1"/>
  <c r="DG157" i="1"/>
  <c r="ET153" i="1"/>
  <c r="EN153" i="1"/>
  <c r="EH153" i="1"/>
  <c r="EQ153" i="1"/>
  <c r="EE153" i="1"/>
  <c r="DY153" i="1"/>
  <c r="EK153" i="1"/>
  <c r="EB153" i="1"/>
  <c r="DS153" i="1"/>
  <c r="DV153" i="1"/>
  <c r="DJ153" i="1"/>
  <c r="DD153" i="1"/>
  <c r="DP153" i="1"/>
  <c r="DG153" i="1"/>
  <c r="DM153" i="1"/>
  <c r="CX153" i="1"/>
  <c r="DA153" i="1"/>
  <c r="CY153" i="1" s="1"/>
  <c r="ET149" i="1"/>
  <c r="EN149" i="1"/>
  <c r="EK149" i="1"/>
  <c r="EQ149" i="1"/>
  <c r="EH149" i="1"/>
  <c r="EE149" i="1"/>
  <c r="EB149" i="1"/>
  <c r="DV149" i="1"/>
  <c r="DJ149" i="1"/>
  <c r="DY149" i="1"/>
  <c r="DS149" i="1"/>
  <c r="DP149" i="1"/>
  <c r="DA149" i="1"/>
  <c r="CY149" i="1" s="1"/>
  <c r="DD149" i="1"/>
  <c r="CX149" i="1"/>
  <c r="CV149" i="1" s="1"/>
  <c r="DM149" i="1"/>
  <c r="DG149" i="1"/>
  <c r="EQ145" i="1"/>
  <c r="ET145" i="1"/>
  <c r="EH145" i="1"/>
  <c r="EN145" i="1"/>
  <c r="EK145" i="1"/>
  <c r="EE145" i="1"/>
  <c r="DY145" i="1"/>
  <c r="DM145" i="1"/>
  <c r="DS145" i="1"/>
  <c r="EB145" i="1"/>
  <c r="DP145" i="1"/>
  <c r="DJ145" i="1"/>
  <c r="DD145" i="1"/>
  <c r="DG145" i="1"/>
  <c r="DV145" i="1"/>
  <c r="CX145" i="1"/>
  <c r="DA145" i="1"/>
  <c r="CY145" i="1" s="1"/>
  <c r="ET141" i="1"/>
  <c r="EN141" i="1"/>
  <c r="EQ141" i="1"/>
  <c r="EK141" i="1"/>
  <c r="EE141" i="1"/>
  <c r="EH141" i="1"/>
  <c r="EB141" i="1"/>
  <c r="DY141" i="1"/>
  <c r="DV141" i="1"/>
  <c r="DS141" i="1"/>
  <c r="DP141" i="1"/>
  <c r="DJ141" i="1"/>
  <c r="DH141" i="1" s="1"/>
  <c r="DM141" i="1"/>
  <c r="DA141" i="1"/>
  <c r="CY141" i="1" s="1"/>
  <c r="DD141" i="1"/>
  <c r="CX141" i="1"/>
  <c r="DG141" i="1"/>
  <c r="EQ137" i="1"/>
  <c r="ET137" i="1"/>
  <c r="EN137" i="1"/>
  <c r="EH137" i="1"/>
  <c r="EK137" i="1"/>
  <c r="EE137" i="1"/>
  <c r="EB137" i="1"/>
  <c r="DY137" i="1"/>
  <c r="DV137" i="1"/>
  <c r="DM137" i="1"/>
  <c r="DS137" i="1"/>
  <c r="DP137" i="1"/>
  <c r="DJ137" i="1"/>
  <c r="DD137" i="1"/>
  <c r="DG137" i="1"/>
  <c r="DA137" i="1"/>
  <c r="CY137" i="1" s="1"/>
  <c r="CX137" i="1"/>
  <c r="ET133" i="1"/>
  <c r="EN133" i="1"/>
  <c r="EK133" i="1"/>
  <c r="EQ133" i="1"/>
  <c r="EE133" i="1"/>
  <c r="EH133" i="1"/>
  <c r="EB133" i="1"/>
  <c r="DV133" i="1"/>
  <c r="DY133" i="1"/>
  <c r="DP133" i="1"/>
  <c r="DJ133" i="1"/>
  <c r="DS133" i="1"/>
  <c r="DM133" i="1"/>
  <c r="DA133" i="1"/>
  <c r="CY133" i="1" s="1"/>
  <c r="DD133" i="1"/>
  <c r="CX133" i="1"/>
  <c r="CV133" i="1" s="1"/>
  <c r="DG133" i="1"/>
  <c r="ET129" i="1"/>
  <c r="EQ129" i="1"/>
  <c r="EH129" i="1"/>
  <c r="EN129" i="1"/>
  <c r="EE129" i="1"/>
  <c r="DY129" i="1"/>
  <c r="EK129" i="1"/>
  <c r="EB129" i="1"/>
  <c r="DV129" i="1"/>
  <c r="DP129" i="1"/>
  <c r="DJ129" i="1"/>
  <c r="DM129" i="1"/>
  <c r="DD129" i="1"/>
  <c r="DB129" i="1" s="1"/>
  <c r="DG129" i="1"/>
  <c r="DS129" i="1"/>
  <c r="CX129" i="1"/>
  <c r="DA129" i="1"/>
  <c r="CY129" i="1" s="1"/>
  <c r="ET125" i="1"/>
  <c r="EN125" i="1"/>
  <c r="EQ125" i="1"/>
  <c r="EK125" i="1"/>
  <c r="EE125" i="1"/>
  <c r="EH125" i="1"/>
  <c r="EB125" i="1"/>
  <c r="DY125" i="1"/>
  <c r="DV125" i="1"/>
  <c r="DJ125" i="1"/>
  <c r="DS125" i="1"/>
  <c r="DP125" i="1"/>
  <c r="DA125" i="1"/>
  <c r="CY125" i="1" s="1"/>
  <c r="DD125" i="1"/>
  <c r="CX125" i="1"/>
  <c r="DM125" i="1"/>
  <c r="DG125" i="1"/>
  <c r="EN121" i="1"/>
  <c r="EH121" i="1"/>
  <c r="ET121" i="1"/>
  <c r="EK121" i="1"/>
  <c r="EE121" i="1"/>
  <c r="DY121" i="1"/>
  <c r="EQ121" i="1"/>
  <c r="DS121" i="1"/>
  <c r="EB121" i="1"/>
  <c r="DJ121" i="1"/>
  <c r="DP121" i="1"/>
  <c r="DD121" i="1"/>
  <c r="DV121" i="1"/>
  <c r="DG121" i="1"/>
  <c r="DM121" i="1"/>
  <c r="CX121" i="1"/>
  <c r="DA121" i="1"/>
  <c r="CY121" i="1" s="1"/>
  <c r="ET117" i="1"/>
  <c r="EQ117" i="1"/>
  <c r="EN117" i="1"/>
  <c r="EK117" i="1"/>
  <c r="EH117" i="1"/>
  <c r="EE117" i="1"/>
  <c r="EB117" i="1"/>
  <c r="DV117" i="1"/>
  <c r="DJ117" i="1"/>
  <c r="DP117" i="1"/>
  <c r="DY117" i="1"/>
  <c r="DS117" i="1"/>
  <c r="DA117" i="1"/>
  <c r="CY117" i="1" s="1"/>
  <c r="DM117" i="1"/>
  <c r="DD117" i="1"/>
  <c r="CX117" i="1"/>
  <c r="CV117" i="1" s="1"/>
  <c r="DG117" i="1"/>
  <c r="ET113" i="1"/>
  <c r="EQ113" i="1"/>
  <c r="EH113" i="1"/>
  <c r="EK113" i="1"/>
  <c r="EE113" i="1"/>
  <c r="DY113" i="1"/>
  <c r="EB113" i="1"/>
  <c r="EN113" i="1"/>
  <c r="DV113" i="1"/>
  <c r="DS113" i="1"/>
  <c r="DM113" i="1"/>
  <c r="DJ113" i="1"/>
  <c r="DD113" i="1"/>
  <c r="DB113" i="1" s="1"/>
  <c r="DG113" i="1"/>
  <c r="DA113" i="1"/>
  <c r="CY113" i="1" s="1"/>
  <c r="CX113" i="1"/>
  <c r="DP113" i="1"/>
  <c r="ET109" i="1"/>
  <c r="EN109" i="1"/>
  <c r="EQ109" i="1"/>
  <c r="EK109" i="1"/>
  <c r="EE109" i="1"/>
  <c r="EH109" i="1"/>
  <c r="EB109" i="1"/>
  <c r="DY109" i="1"/>
  <c r="DV109" i="1"/>
  <c r="DS109" i="1"/>
  <c r="DM109" i="1"/>
  <c r="DJ109" i="1"/>
  <c r="DH109" i="1" s="1"/>
  <c r="DP109" i="1"/>
  <c r="DA109" i="1"/>
  <c r="CY109" i="1" s="1"/>
  <c r="DD109" i="1"/>
  <c r="CX109" i="1"/>
  <c r="DG109" i="1"/>
  <c r="ET105" i="1"/>
  <c r="EQ105" i="1"/>
  <c r="EN105" i="1"/>
  <c r="EH105" i="1"/>
  <c r="EE105" i="1"/>
  <c r="EK105" i="1"/>
  <c r="EB105" i="1"/>
  <c r="DY105" i="1"/>
  <c r="DP105" i="1"/>
  <c r="DS105" i="1"/>
  <c r="DV105" i="1"/>
  <c r="DM105" i="1"/>
  <c r="DJ105" i="1"/>
  <c r="DD105" i="1"/>
  <c r="DG105" i="1"/>
  <c r="DA105" i="1"/>
  <c r="CY105" i="1" s="1"/>
  <c r="CX105" i="1"/>
  <c r="ET101" i="1"/>
  <c r="EN101" i="1"/>
  <c r="EQ101" i="1"/>
  <c r="EK101" i="1"/>
  <c r="EE101" i="1"/>
  <c r="EH101" i="1"/>
  <c r="DV101" i="1"/>
  <c r="DY101" i="1"/>
  <c r="DM101" i="1"/>
  <c r="DJ101" i="1"/>
  <c r="EB101" i="1"/>
  <c r="DS101" i="1"/>
  <c r="DP101" i="1"/>
  <c r="CX101" i="1"/>
  <c r="CV101" i="1" s="1"/>
  <c r="DA101" i="1"/>
  <c r="CY101" i="1" s="1"/>
  <c r="DD101" i="1"/>
  <c r="DG101" i="1"/>
  <c r="EQ97" i="1"/>
  <c r="ET97" i="1"/>
  <c r="EH97" i="1"/>
  <c r="EK97" i="1"/>
  <c r="EE97" i="1"/>
  <c r="EN97" i="1"/>
  <c r="DY97" i="1"/>
  <c r="EB97" i="1"/>
  <c r="DV97" i="1"/>
  <c r="DP97" i="1"/>
  <c r="DJ97" i="1"/>
  <c r="DD97" i="1"/>
  <c r="DM97" i="1"/>
  <c r="DG97" i="1"/>
  <c r="CX97" i="1"/>
  <c r="DA97" i="1"/>
  <c r="CY97" i="1" s="1"/>
  <c r="DS97" i="1"/>
  <c r="ET93" i="1"/>
  <c r="EN93" i="1"/>
  <c r="EK93" i="1"/>
  <c r="EQ93" i="1"/>
  <c r="EE93" i="1"/>
  <c r="EH93" i="1"/>
  <c r="EB93" i="1"/>
  <c r="DY93" i="1"/>
  <c r="DV93" i="1"/>
  <c r="DJ93" i="1"/>
  <c r="DS93" i="1"/>
  <c r="DM93" i="1"/>
  <c r="CX93" i="1"/>
  <c r="CV93" i="1" s="1"/>
  <c r="DA93" i="1"/>
  <c r="CY93" i="1" s="1"/>
  <c r="DD93" i="1"/>
  <c r="DP93" i="1"/>
  <c r="DG93" i="1"/>
  <c r="ET89" i="1"/>
  <c r="EQ89" i="1"/>
  <c r="EN89" i="1"/>
  <c r="EH89" i="1"/>
  <c r="EE89" i="1"/>
  <c r="EK89" i="1"/>
  <c r="DY89" i="1"/>
  <c r="EB89" i="1"/>
  <c r="DS89" i="1"/>
  <c r="DV89" i="1"/>
  <c r="DJ89" i="1"/>
  <c r="DD89" i="1"/>
  <c r="DB89" i="1" s="1"/>
  <c r="DG89" i="1"/>
  <c r="CX89" i="1"/>
  <c r="DP89" i="1"/>
  <c r="DA89" i="1"/>
  <c r="CY89" i="1" s="1"/>
  <c r="DM89" i="1"/>
  <c r="ET85" i="1"/>
  <c r="EN85" i="1"/>
  <c r="EQ85" i="1"/>
  <c r="EK85" i="1"/>
  <c r="EE85" i="1"/>
  <c r="EH85" i="1"/>
  <c r="EB85" i="1"/>
  <c r="DV85" i="1"/>
  <c r="DJ85" i="1"/>
  <c r="DY85" i="1"/>
  <c r="CX85" i="1"/>
  <c r="CV85" i="1" s="1"/>
  <c r="DA85" i="1"/>
  <c r="CY85" i="1" s="1"/>
  <c r="DS85" i="1"/>
  <c r="DP85" i="1"/>
  <c r="DD85" i="1"/>
  <c r="DG85" i="1"/>
  <c r="DM85" i="1"/>
  <c r="EQ81" i="1"/>
  <c r="EH81" i="1"/>
  <c r="EN81" i="1"/>
  <c r="EK81" i="1"/>
  <c r="EE81" i="1"/>
  <c r="DY81" i="1"/>
  <c r="ET81" i="1"/>
  <c r="EB81" i="1"/>
  <c r="DM81" i="1"/>
  <c r="DS81" i="1"/>
  <c r="DP81" i="1"/>
  <c r="DJ81" i="1"/>
  <c r="DD81" i="1"/>
  <c r="DB81" i="1" s="1"/>
  <c r="DG81" i="1"/>
  <c r="DV81" i="1"/>
  <c r="CX81" i="1"/>
  <c r="DA81" i="1"/>
  <c r="CY81" i="1" s="1"/>
  <c r="ET77" i="1"/>
  <c r="EN77" i="1"/>
  <c r="EQ77" i="1"/>
  <c r="EK77" i="1"/>
  <c r="EE77" i="1"/>
  <c r="EH77" i="1"/>
  <c r="EB77" i="1"/>
  <c r="DY77" i="1"/>
  <c r="DV77" i="1"/>
  <c r="DS77" i="1"/>
  <c r="DP77" i="1"/>
  <c r="DJ77" i="1"/>
  <c r="DH77" i="1" s="1"/>
  <c r="DM77" i="1"/>
  <c r="DG77" i="1"/>
  <c r="CX77" i="1"/>
  <c r="DA77" i="1"/>
  <c r="CY77" i="1" s="1"/>
  <c r="DD77" i="1"/>
  <c r="ET73" i="1"/>
  <c r="EN73" i="1"/>
  <c r="EH73" i="1"/>
  <c r="EK73" i="1"/>
  <c r="EQ73" i="1"/>
  <c r="EE73" i="1"/>
  <c r="EB73" i="1"/>
  <c r="DY73" i="1"/>
  <c r="DM73" i="1"/>
  <c r="DV73" i="1"/>
  <c r="DS73" i="1"/>
  <c r="DP73" i="1"/>
  <c r="DJ73" i="1"/>
  <c r="DD73" i="1"/>
  <c r="DG73" i="1"/>
  <c r="CX73" i="1"/>
  <c r="DA73" i="1"/>
  <c r="CY73" i="1" s="1"/>
  <c r="ET69" i="1"/>
  <c r="EN69" i="1"/>
  <c r="EQ69" i="1"/>
  <c r="EK69" i="1"/>
  <c r="EE69" i="1"/>
  <c r="EH69" i="1"/>
  <c r="EB69" i="1"/>
  <c r="DV69" i="1"/>
  <c r="DY69" i="1"/>
  <c r="DP69" i="1"/>
  <c r="DJ69" i="1"/>
  <c r="DS69" i="1"/>
  <c r="DM69" i="1"/>
  <c r="CX69" i="1"/>
  <c r="DA69" i="1"/>
  <c r="CY69" i="1" s="1"/>
  <c r="DD69" i="1"/>
  <c r="DG69" i="1"/>
  <c r="ET65" i="1"/>
  <c r="EH65" i="1"/>
  <c r="EQ65" i="1"/>
  <c r="EN65" i="1"/>
  <c r="EE65" i="1"/>
  <c r="DY65" i="1"/>
  <c r="EB65" i="1"/>
  <c r="EK65" i="1"/>
  <c r="DP65" i="1"/>
  <c r="DJ65" i="1"/>
  <c r="DS65" i="1"/>
  <c r="DD65" i="1"/>
  <c r="DV65" i="1"/>
  <c r="CX65" i="1"/>
  <c r="DG65" i="1"/>
  <c r="DA65" i="1"/>
  <c r="CY65" i="1" s="1"/>
  <c r="DM65" i="1"/>
  <c r="ET61" i="1"/>
  <c r="EN61" i="1"/>
  <c r="EK61" i="1"/>
  <c r="EQ61" i="1"/>
  <c r="EE61" i="1"/>
  <c r="EH61" i="1"/>
  <c r="EB61" i="1"/>
  <c r="DY61" i="1"/>
  <c r="DV61" i="1"/>
  <c r="DJ61" i="1"/>
  <c r="DS61" i="1"/>
  <c r="CX61" i="1"/>
  <c r="CV61" i="1" s="1"/>
  <c r="DA61" i="1"/>
  <c r="CY61" i="1" s="1"/>
  <c r="DG61" i="1"/>
  <c r="DP61" i="1"/>
  <c r="DM61" i="1"/>
  <c r="DD61" i="1"/>
  <c r="EQ57" i="1"/>
  <c r="ET57" i="1"/>
  <c r="EN57" i="1"/>
  <c r="EH57" i="1"/>
  <c r="EK57" i="1"/>
  <c r="EE57" i="1"/>
  <c r="DY57" i="1"/>
  <c r="EB57" i="1"/>
  <c r="DS57" i="1"/>
  <c r="DV57" i="1"/>
  <c r="DM57" i="1"/>
  <c r="DJ57" i="1"/>
  <c r="DG57" i="1"/>
  <c r="DD57" i="1"/>
  <c r="DB57" i="1" s="1"/>
  <c r="DP57" i="1"/>
  <c r="CX57" i="1"/>
  <c r="DA57" i="1"/>
  <c r="CY57" i="1" s="1"/>
  <c r="ET53" i="1"/>
  <c r="EN53" i="1"/>
  <c r="EQ53" i="1"/>
  <c r="EK53" i="1"/>
  <c r="EH53" i="1"/>
  <c r="EE53" i="1"/>
  <c r="DV53" i="1"/>
  <c r="DJ53" i="1"/>
  <c r="DP53" i="1"/>
  <c r="EB53" i="1"/>
  <c r="DY53" i="1"/>
  <c r="CX53" i="1"/>
  <c r="CV53" i="1" s="1"/>
  <c r="DM53" i="1"/>
  <c r="DA53" i="1"/>
  <c r="CY53" i="1" s="1"/>
  <c r="DD53" i="1"/>
  <c r="DS53" i="1"/>
  <c r="DG53" i="1"/>
  <c r="EQ49" i="1"/>
  <c r="ET49" i="1"/>
  <c r="EH49" i="1"/>
  <c r="EK49" i="1"/>
  <c r="EE49" i="1"/>
  <c r="EN49" i="1"/>
  <c r="EB49" i="1"/>
  <c r="DY49" i="1"/>
  <c r="DS49" i="1"/>
  <c r="DM49" i="1"/>
  <c r="DJ49" i="1"/>
  <c r="DV49" i="1"/>
  <c r="DP49" i="1"/>
  <c r="DD49" i="1"/>
  <c r="DG49" i="1"/>
  <c r="CX49" i="1"/>
  <c r="DA49" i="1"/>
  <c r="CY49" i="1" s="1"/>
  <c r="ET45" i="1"/>
  <c r="EN45" i="1"/>
  <c r="EQ45" i="1"/>
  <c r="EK45" i="1"/>
  <c r="EE45" i="1"/>
  <c r="EH45" i="1"/>
  <c r="DY45" i="1"/>
  <c r="EB45" i="1"/>
  <c r="DV45" i="1"/>
  <c r="DS45" i="1"/>
  <c r="DM45" i="1"/>
  <c r="DJ45" i="1"/>
  <c r="DH45" i="1" s="1"/>
  <c r="DP45" i="1"/>
  <c r="CX45" i="1"/>
  <c r="DA45" i="1"/>
  <c r="CY45" i="1" s="1"/>
  <c r="DD45" i="1"/>
  <c r="DG45" i="1"/>
  <c r="ET41" i="1"/>
  <c r="EN41" i="1"/>
  <c r="EH41" i="1"/>
  <c r="EQ41" i="1"/>
  <c r="EE41" i="1"/>
  <c r="EK41" i="1"/>
  <c r="DY41" i="1"/>
  <c r="EB41" i="1"/>
  <c r="DV41" i="1"/>
  <c r="DP41" i="1"/>
  <c r="DS41" i="1"/>
  <c r="DM41" i="1"/>
  <c r="DJ41" i="1"/>
  <c r="DD41" i="1"/>
  <c r="DG41" i="1"/>
  <c r="CX41" i="1"/>
  <c r="DA41" i="1"/>
  <c r="CY41" i="1" s="1"/>
  <c r="ET37" i="1"/>
  <c r="EN37" i="1"/>
  <c r="EQ37" i="1"/>
  <c r="EK37" i="1"/>
  <c r="EE37" i="1"/>
  <c r="EH37" i="1"/>
  <c r="EB37" i="1"/>
  <c r="DV37" i="1"/>
  <c r="DY37" i="1"/>
  <c r="DM37" i="1"/>
  <c r="DJ37" i="1"/>
  <c r="DS37" i="1"/>
  <c r="DP37" i="1"/>
  <c r="CX37" i="1"/>
  <c r="CV37" i="1" s="1"/>
  <c r="DA37" i="1"/>
  <c r="CY37" i="1" s="1"/>
  <c r="DD37" i="1"/>
  <c r="DG37" i="1"/>
  <c r="ET33" i="1"/>
  <c r="EH33" i="1"/>
  <c r="EQ33" i="1"/>
  <c r="EK33" i="1"/>
  <c r="EE33" i="1"/>
  <c r="EN33" i="1"/>
  <c r="EB33" i="1"/>
  <c r="DY33" i="1"/>
  <c r="DV33" i="1"/>
  <c r="DP33" i="1"/>
  <c r="DJ33" i="1"/>
  <c r="DD33" i="1"/>
  <c r="DS33" i="1"/>
  <c r="DM33" i="1"/>
  <c r="CX33" i="1"/>
  <c r="DA33" i="1"/>
  <c r="CY33" i="1" s="1"/>
  <c r="DG33" i="1"/>
  <c r="ET29" i="1"/>
  <c r="EN29" i="1"/>
  <c r="EK29" i="1"/>
  <c r="EQ29" i="1"/>
  <c r="EE29" i="1"/>
  <c r="EB29" i="1"/>
  <c r="DY29" i="1"/>
  <c r="DJ29" i="1"/>
  <c r="DS29" i="1"/>
  <c r="EH29" i="1"/>
  <c r="DV29" i="1"/>
  <c r="CX29" i="1"/>
  <c r="CV29" i="1" s="1"/>
  <c r="DP29" i="1"/>
  <c r="DM29" i="1"/>
  <c r="DA29" i="1"/>
  <c r="CY29" i="1" s="1"/>
  <c r="DG29" i="1"/>
  <c r="DD29" i="1"/>
  <c r="ET25" i="1"/>
  <c r="EQ25" i="1"/>
  <c r="EN25" i="1"/>
  <c r="EH25" i="1"/>
  <c r="EB25" i="1"/>
  <c r="EE25" i="1"/>
  <c r="DY25" i="1"/>
  <c r="EK25" i="1"/>
  <c r="DV25" i="1"/>
  <c r="DS25" i="1"/>
  <c r="DJ25" i="1"/>
  <c r="DP25" i="1"/>
  <c r="DG25" i="1"/>
  <c r="DD25" i="1"/>
  <c r="DB25" i="1" s="1"/>
  <c r="CX25" i="1"/>
  <c r="DM25" i="1"/>
  <c r="DA25" i="1"/>
  <c r="CY25" i="1" s="1"/>
  <c r="ET21" i="1"/>
  <c r="EN21" i="1"/>
  <c r="EQ21" i="1"/>
  <c r="EK21" i="1"/>
  <c r="EE21" i="1"/>
  <c r="EH21" i="1"/>
  <c r="EB21" i="1"/>
  <c r="DJ21" i="1"/>
  <c r="DV21" i="1"/>
  <c r="DM21" i="1"/>
  <c r="DY21" i="1"/>
  <c r="DS21" i="1"/>
  <c r="DP21" i="1"/>
  <c r="CX21" i="1"/>
  <c r="CV21" i="1" s="1"/>
  <c r="DA21" i="1"/>
  <c r="CY21" i="1" s="1"/>
  <c r="DD21" i="1"/>
  <c r="DG21" i="1"/>
  <c r="EQ17" i="1"/>
  <c r="EH17" i="1"/>
  <c r="EB17" i="1"/>
  <c r="EN17" i="1"/>
  <c r="ET17" i="1"/>
  <c r="EK17" i="1"/>
  <c r="EE17" i="1"/>
  <c r="DY17" i="1"/>
  <c r="DV17" i="1"/>
  <c r="DM17" i="1"/>
  <c r="DS17" i="1"/>
  <c r="DP17" i="1"/>
  <c r="DJ17" i="1"/>
  <c r="DD17" i="1"/>
  <c r="DB17" i="1" s="1"/>
  <c r="DG17" i="1"/>
  <c r="CX17" i="1"/>
  <c r="DA17" i="1"/>
  <c r="CY17" i="1" s="1"/>
  <c r="ET13" i="1"/>
  <c r="EN13" i="1"/>
  <c r="EQ13" i="1"/>
  <c r="EK13" i="1"/>
  <c r="EE13" i="1"/>
  <c r="EH13" i="1"/>
  <c r="EB13" i="1"/>
  <c r="DY13" i="1"/>
  <c r="DS13" i="1"/>
  <c r="DP13" i="1"/>
  <c r="DJ13" i="1"/>
  <c r="DH13" i="1" s="1"/>
  <c r="DM13" i="1"/>
  <c r="CX13" i="1"/>
  <c r="DA13" i="1"/>
  <c r="CY13" i="1" s="1"/>
  <c r="DV13" i="1"/>
  <c r="DD13" i="1"/>
  <c r="DG13" i="1"/>
  <c r="ET9" i="1"/>
  <c r="EN9" i="1"/>
  <c r="EH9" i="1"/>
  <c r="EK9" i="1"/>
  <c r="EB9" i="1"/>
  <c r="EE9" i="1"/>
  <c r="EQ9" i="1"/>
  <c r="DY9" i="1"/>
  <c r="DM9" i="1"/>
  <c r="DV9" i="1"/>
  <c r="DS9" i="1"/>
  <c r="DP9" i="1"/>
  <c r="DJ9" i="1"/>
  <c r="DD9" i="1"/>
  <c r="CX9" i="1"/>
  <c r="DG9" i="1"/>
  <c r="DA9" i="1"/>
  <c r="CY9" i="1" s="1"/>
  <c r="ET5" i="1"/>
  <c r="EN5" i="1"/>
  <c r="EQ5" i="1"/>
  <c r="EK5" i="1"/>
  <c r="EE5" i="1"/>
  <c r="EB5" i="1"/>
  <c r="EH5" i="1"/>
  <c r="DV5" i="1"/>
  <c r="DY5" i="1"/>
  <c r="DP5" i="1"/>
  <c r="DJ5" i="1"/>
  <c r="DS5" i="1"/>
  <c r="DM5" i="1"/>
  <c r="CX5" i="1"/>
  <c r="CV5" i="1" s="1"/>
  <c r="DA5" i="1"/>
  <c r="CY5" i="1" s="1"/>
  <c r="DG5" i="1"/>
  <c r="DD5" i="1"/>
  <c r="CW268" i="1"/>
  <c r="CW260" i="1"/>
  <c r="CW252" i="1"/>
  <c r="CW244" i="1"/>
  <c r="CW236" i="1"/>
  <c r="CV236" i="1" s="1"/>
  <c r="CW228" i="1"/>
  <c r="CW220" i="1"/>
  <c r="CW212" i="1"/>
  <c r="CW204" i="1"/>
  <c r="CW188" i="1"/>
  <c r="CW180" i="1"/>
  <c r="CW172" i="1"/>
  <c r="CW156" i="1"/>
  <c r="CW148" i="1"/>
  <c r="CV148" i="1" s="1"/>
  <c r="CW140" i="1"/>
  <c r="CW132" i="1"/>
  <c r="CW124" i="1"/>
  <c r="CW116" i="1"/>
  <c r="CW108" i="1"/>
  <c r="CW100" i="1"/>
  <c r="CW92" i="1"/>
  <c r="CW84" i="1"/>
  <c r="CW76" i="1"/>
  <c r="CW68" i="1"/>
  <c r="CW60" i="1"/>
  <c r="CV60" i="1" s="1"/>
  <c r="CW52" i="1"/>
  <c r="CW44" i="1"/>
  <c r="CW36" i="1"/>
  <c r="CW28" i="1"/>
  <c r="CW20" i="1"/>
  <c r="CW12" i="1"/>
  <c r="CW4" i="1"/>
  <c r="DC266" i="1"/>
  <c r="DC234" i="1"/>
  <c r="DC202" i="1"/>
  <c r="DB202" i="1" s="1"/>
  <c r="DC170" i="1"/>
  <c r="DC138" i="1"/>
  <c r="DC106" i="1"/>
  <c r="DC74" i="1"/>
  <c r="DC42" i="1"/>
  <c r="DC10" i="1"/>
  <c r="DF216" i="1"/>
  <c r="DF184" i="1"/>
  <c r="DF152" i="1"/>
  <c r="DE152" i="1" s="1"/>
  <c r="DF120" i="1"/>
  <c r="DE120" i="1" s="1"/>
  <c r="DF88" i="1"/>
  <c r="DF24" i="1"/>
  <c r="DI262" i="1"/>
  <c r="DI230" i="1"/>
  <c r="DI198" i="1"/>
  <c r="DI166" i="1"/>
  <c r="DI134" i="1"/>
  <c r="DI102" i="1"/>
  <c r="DI70" i="1"/>
  <c r="DI38" i="1"/>
  <c r="DI6" i="1"/>
  <c r="DL244" i="1"/>
  <c r="DL212" i="1"/>
  <c r="DL180" i="1"/>
  <c r="DL148" i="1"/>
  <c r="DL116" i="1"/>
  <c r="DL52" i="1"/>
  <c r="DK52" i="1" s="1"/>
  <c r="DL20" i="1"/>
  <c r="DO258" i="1"/>
  <c r="DO226" i="1"/>
  <c r="DO194" i="1"/>
  <c r="DO162" i="1"/>
  <c r="DO130" i="1"/>
  <c r="DO98" i="1"/>
  <c r="DO66" i="1"/>
  <c r="DO34" i="1"/>
  <c r="DR272" i="1"/>
  <c r="DR230" i="1"/>
  <c r="DR188" i="1"/>
  <c r="DR144" i="1"/>
  <c r="DR102" i="1"/>
  <c r="DR60" i="1"/>
  <c r="DR16" i="1"/>
  <c r="DU244" i="1"/>
  <c r="DU202" i="1"/>
  <c r="DU158" i="1"/>
  <c r="DU116" i="1"/>
  <c r="DU74" i="1"/>
  <c r="DU30" i="1"/>
  <c r="DX258" i="1"/>
  <c r="DX216" i="1"/>
  <c r="DX172" i="1"/>
  <c r="DX130" i="1"/>
  <c r="DX88" i="1"/>
  <c r="DX44" i="1"/>
  <c r="EA230" i="1"/>
  <c r="EA186" i="1"/>
  <c r="EA144" i="1"/>
  <c r="EA102" i="1"/>
  <c r="EA58" i="1"/>
  <c r="EA7" i="1"/>
  <c r="EG267" i="1"/>
  <c r="EG139" i="1"/>
  <c r="EG11" i="1"/>
  <c r="EJ4" i="1"/>
  <c r="EM82" i="1"/>
  <c r="EP36" i="1"/>
  <c r="CX234" i="1"/>
  <c r="DD266" i="1"/>
  <c r="DM198" i="1"/>
  <c r="ET272" i="1"/>
  <c r="EN272" i="1"/>
  <c r="EQ272" i="1"/>
  <c r="EK272" i="1"/>
  <c r="EE272" i="1"/>
  <c r="EH272" i="1"/>
  <c r="DY272" i="1"/>
  <c r="EB272" i="1"/>
  <c r="DP272" i="1"/>
  <c r="DJ272" i="1"/>
  <c r="DS272" i="1"/>
  <c r="DM272" i="1"/>
  <c r="DV272" i="1"/>
  <c r="CX272" i="1"/>
  <c r="DG272" i="1"/>
  <c r="DD272" i="1"/>
  <c r="DA272" i="1"/>
  <c r="CY272" i="1" s="1"/>
  <c r="ET252" i="1"/>
  <c r="EN252" i="1"/>
  <c r="EQ252" i="1"/>
  <c r="EK252" i="1"/>
  <c r="EH252" i="1"/>
  <c r="EE252" i="1"/>
  <c r="EB252" i="1"/>
  <c r="DV252" i="1"/>
  <c r="DY252" i="1"/>
  <c r="DJ252" i="1"/>
  <c r="DP252" i="1"/>
  <c r="DS252" i="1"/>
  <c r="DM252" i="1"/>
  <c r="DK252" i="1" s="1"/>
  <c r="DD252" i="1"/>
  <c r="DG252" i="1"/>
  <c r="CX252" i="1"/>
  <c r="DA252" i="1"/>
  <c r="CY252" i="1" s="1"/>
  <c r="ET228" i="1"/>
  <c r="EN228" i="1"/>
  <c r="EQ228" i="1"/>
  <c r="EK228" i="1"/>
  <c r="EH228" i="1"/>
  <c r="DV228" i="1"/>
  <c r="DJ228" i="1"/>
  <c r="EE228" i="1"/>
  <c r="DS228" i="1"/>
  <c r="DP228" i="1"/>
  <c r="EB228" i="1"/>
  <c r="DD228" i="1"/>
  <c r="DM228" i="1"/>
  <c r="DK228" i="1" s="1"/>
  <c r="DG228" i="1"/>
  <c r="DY228" i="1"/>
  <c r="DA228" i="1"/>
  <c r="CY228" i="1" s="1"/>
  <c r="CX228" i="1"/>
  <c r="ET204" i="1"/>
  <c r="EN204" i="1"/>
  <c r="EQ204" i="1"/>
  <c r="EK204" i="1"/>
  <c r="EH204" i="1"/>
  <c r="DY204" i="1"/>
  <c r="EB204" i="1"/>
  <c r="DV204" i="1"/>
  <c r="EE204" i="1"/>
  <c r="DJ204" i="1"/>
  <c r="DP204" i="1"/>
  <c r="DD204" i="1"/>
  <c r="DS204" i="1"/>
  <c r="CX204" i="1"/>
  <c r="DA204" i="1"/>
  <c r="CY204" i="1" s="1"/>
  <c r="DM204" i="1"/>
  <c r="DK204" i="1" s="1"/>
  <c r="DG204" i="1"/>
  <c r="ET196" i="1"/>
  <c r="EN196" i="1"/>
  <c r="EQ196" i="1"/>
  <c r="EK196" i="1"/>
  <c r="EH196" i="1"/>
  <c r="DY196" i="1"/>
  <c r="EE196" i="1"/>
  <c r="DV196" i="1"/>
  <c r="DP196" i="1"/>
  <c r="DJ196" i="1"/>
  <c r="DS196" i="1"/>
  <c r="DM196" i="1"/>
  <c r="EB196" i="1"/>
  <c r="DD196" i="1"/>
  <c r="DG196" i="1"/>
  <c r="DA196" i="1"/>
  <c r="CY196" i="1" s="1"/>
  <c r="CX196" i="1"/>
  <c r="CV196" i="1" s="1"/>
  <c r="ET172" i="1"/>
  <c r="EN172" i="1"/>
  <c r="EQ172" i="1"/>
  <c r="EK172" i="1"/>
  <c r="EH172" i="1"/>
  <c r="DY172" i="1"/>
  <c r="EE172" i="1"/>
  <c r="EB172" i="1"/>
  <c r="DV172" i="1"/>
  <c r="DJ172" i="1"/>
  <c r="DP172" i="1"/>
  <c r="DM172" i="1"/>
  <c r="DK172" i="1" s="1"/>
  <c r="DD172" i="1"/>
  <c r="DS172" i="1"/>
  <c r="CX172" i="1"/>
  <c r="DA172" i="1"/>
  <c r="CY172" i="1" s="1"/>
  <c r="DG172" i="1"/>
  <c r="EQ148" i="1"/>
  <c r="ET148" i="1"/>
  <c r="EN148" i="1"/>
  <c r="EK148" i="1"/>
  <c r="EE148" i="1"/>
  <c r="EB148" i="1"/>
  <c r="DY148" i="1"/>
  <c r="DV148" i="1"/>
  <c r="DJ148" i="1"/>
  <c r="DS148" i="1"/>
  <c r="EH148" i="1"/>
  <c r="DP148" i="1"/>
  <c r="DM148" i="1"/>
  <c r="DD148" i="1"/>
  <c r="DG148" i="1"/>
  <c r="DA148" i="1"/>
  <c r="CY148" i="1" s="1"/>
  <c r="ET128" i="1"/>
  <c r="EQ128" i="1"/>
  <c r="EN128" i="1"/>
  <c r="EK128" i="1"/>
  <c r="EH128" i="1"/>
  <c r="EE128" i="1"/>
  <c r="DY128" i="1"/>
  <c r="EB128" i="1"/>
  <c r="DP128" i="1"/>
  <c r="DM128" i="1"/>
  <c r="DV128" i="1"/>
  <c r="DJ128" i="1"/>
  <c r="DS128" i="1"/>
  <c r="DA128" i="1"/>
  <c r="CY128" i="1" s="1"/>
  <c r="DD128" i="1"/>
  <c r="DG128" i="1"/>
  <c r="DE128" i="1" s="1"/>
  <c r="CX128" i="1"/>
  <c r="EQ108" i="1"/>
  <c r="ET108" i="1"/>
  <c r="EN108" i="1"/>
  <c r="EK108" i="1"/>
  <c r="EH108" i="1"/>
  <c r="DY108" i="1"/>
  <c r="EE108" i="1"/>
  <c r="EB108" i="1"/>
  <c r="DV108" i="1"/>
  <c r="DJ108" i="1"/>
  <c r="DP108" i="1"/>
  <c r="DS108" i="1"/>
  <c r="DD108" i="1"/>
  <c r="DM108" i="1"/>
  <c r="CX108" i="1"/>
  <c r="DA108" i="1"/>
  <c r="CY108" i="1" s="1"/>
  <c r="DG108" i="1"/>
  <c r="EQ80" i="1"/>
  <c r="ET80" i="1"/>
  <c r="EN80" i="1"/>
  <c r="EK80" i="1"/>
  <c r="EH80" i="1"/>
  <c r="EE80" i="1"/>
  <c r="DY80" i="1"/>
  <c r="EB80" i="1"/>
  <c r="DP80" i="1"/>
  <c r="DS80" i="1"/>
  <c r="DJ80" i="1"/>
  <c r="DG80" i="1"/>
  <c r="DV80" i="1"/>
  <c r="DM80" i="1"/>
  <c r="DD80" i="1"/>
  <c r="CX80" i="1"/>
  <c r="DA80" i="1"/>
  <c r="CY80" i="1" s="1"/>
  <c r="EQ56" i="1"/>
  <c r="ET56" i="1"/>
  <c r="EN56" i="1"/>
  <c r="EH56" i="1"/>
  <c r="EK56" i="1"/>
  <c r="EE56" i="1"/>
  <c r="DY56" i="1"/>
  <c r="DP56" i="1"/>
  <c r="DV56" i="1"/>
  <c r="DJ56" i="1"/>
  <c r="EB56" i="1"/>
  <c r="DM56" i="1"/>
  <c r="DA56" i="1"/>
  <c r="CY56" i="1" s="1"/>
  <c r="DS56" i="1"/>
  <c r="DD56" i="1"/>
  <c r="CX56" i="1"/>
  <c r="DG56" i="1"/>
  <c r="DE56" i="1" s="1"/>
  <c r="EQ32" i="1"/>
  <c r="ET32" i="1"/>
  <c r="EN32" i="1"/>
  <c r="EH32" i="1"/>
  <c r="EK32" i="1"/>
  <c r="EB32" i="1"/>
  <c r="EE32" i="1"/>
  <c r="DY32" i="1"/>
  <c r="DV32" i="1"/>
  <c r="DP32" i="1"/>
  <c r="DJ32" i="1"/>
  <c r="DS32" i="1"/>
  <c r="DM32" i="1"/>
  <c r="DD32" i="1"/>
  <c r="DA32" i="1"/>
  <c r="CY32" i="1" s="1"/>
  <c r="CX32" i="1"/>
  <c r="DG32" i="1"/>
  <c r="DE32" i="1" s="1"/>
  <c r="EQ12" i="1"/>
  <c r="ET12" i="1"/>
  <c r="EN12" i="1"/>
  <c r="EK12" i="1"/>
  <c r="EH12" i="1"/>
  <c r="EB12" i="1"/>
  <c r="DY12" i="1"/>
  <c r="EE12" i="1"/>
  <c r="DJ12" i="1"/>
  <c r="DM12" i="1"/>
  <c r="DK12" i="1" s="1"/>
  <c r="DV12" i="1"/>
  <c r="DD12" i="1"/>
  <c r="DP12" i="1"/>
  <c r="DS12" i="1"/>
  <c r="CX12" i="1"/>
  <c r="DA12" i="1"/>
  <c r="CY12" i="1" s="1"/>
  <c r="DG12" i="1"/>
  <c r="EP272" i="1"/>
  <c r="ES272" i="1"/>
  <c r="EG272" i="1"/>
  <c r="EM272" i="1"/>
  <c r="DX272" i="1"/>
  <c r="DI272" i="1"/>
  <c r="DL272" i="1"/>
  <c r="EJ272" i="1"/>
  <c r="DU272" i="1"/>
  <c r="ED272" i="1"/>
  <c r="DO272" i="1"/>
  <c r="DC272" i="1"/>
  <c r="ES248" i="1"/>
  <c r="EM248" i="1"/>
  <c r="EG248" i="1"/>
  <c r="ED248" i="1"/>
  <c r="DI248" i="1"/>
  <c r="EP248" i="1"/>
  <c r="DU248" i="1"/>
  <c r="DL248" i="1"/>
  <c r="EA248" i="1"/>
  <c r="DR248" i="1"/>
  <c r="DO248" i="1"/>
  <c r="DC248" i="1"/>
  <c r="EP224" i="1"/>
  <c r="ES224" i="1"/>
  <c r="EM224" i="1"/>
  <c r="EG224" i="1"/>
  <c r="EJ224" i="1"/>
  <c r="DU224" i="1"/>
  <c r="DI224" i="1"/>
  <c r="EA224" i="1"/>
  <c r="DR224" i="1"/>
  <c r="DL224" i="1"/>
  <c r="DK224" i="1" s="1"/>
  <c r="ED224" i="1"/>
  <c r="DX224" i="1"/>
  <c r="DO224" i="1"/>
  <c r="DC224" i="1"/>
  <c r="ES196" i="1"/>
  <c r="EG196" i="1"/>
  <c r="EJ196" i="1"/>
  <c r="EP196" i="1"/>
  <c r="EM196" i="1"/>
  <c r="DX196" i="1"/>
  <c r="DO196" i="1"/>
  <c r="DC196" i="1"/>
  <c r="DB196" i="1" s="1"/>
  <c r="DU196" i="1"/>
  <c r="DF196" i="1"/>
  <c r="DR196" i="1"/>
  <c r="DI196" i="1"/>
  <c r="DH196" i="1" s="1"/>
  <c r="ES164" i="1"/>
  <c r="EG164" i="1"/>
  <c r="EJ164" i="1"/>
  <c r="EM164" i="1"/>
  <c r="ED164" i="1"/>
  <c r="DX164" i="1"/>
  <c r="DO164" i="1"/>
  <c r="DC164" i="1"/>
  <c r="EP164" i="1"/>
  <c r="DU164" i="1"/>
  <c r="DF164" i="1"/>
  <c r="DR164" i="1"/>
  <c r="DI164" i="1"/>
  <c r="EM136" i="1"/>
  <c r="ED136" i="1"/>
  <c r="EG136" i="1"/>
  <c r="EP136" i="1"/>
  <c r="EA136" i="1"/>
  <c r="DR136" i="1"/>
  <c r="DI136" i="1"/>
  <c r="EJ136" i="1"/>
  <c r="DX136" i="1"/>
  <c r="DL136" i="1"/>
  <c r="DO136" i="1"/>
  <c r="DC136" i="1"/>
  <c r="EP112" i="1"/>
  <c r="ES112" i="1"/>
  <c r="EM112" i="1"/>
  <c r="ED112" i="1"/>
  <c r="EG112" i="1"/>
  <c r="DX112" i="1"/>
  <c r="DI112" i="1"/>
  <c r="DL112" i="1"/>
  <c r="EJ112" i="1"/>
  <c r="DU112" i="1"/>
  <c r="DO112" i="1"/>
  <c r="DC112" i="1"/>
  <c r="DB112" i="1" s="1"/>
  <c r="EP84" i="1"/>
  <c r="EM84" i="1"/>
  <c r="EG84" i="1"/>
  <c r="EJ84" i="1"/>
  <c r="ES84" i="1"/>
  <c r="DR84" i="1"/>
  <c r="DO84" i="1"/>
  <c r="DC84" i="1"/>
  <c r="EA84" i="1"/>
  <c r="DF84" i="1"/>
  <c r="ED84" i="1"/>
  <c r="DX84" i="1"/>
  <c r="DI84" i="1"/>
  <c r="ES56" i="1"/>
  <c r="EJ56" i="1"/>
  <c r="EM56" i="1"/>
  <c r="ED56" i="1"/>
  <c r="EG56" i="1"/>
  <c r="EP56" i="1"/>
  <c r="DI56" i="1"/>
  <c r="DU56" i="1"/>
  <c r="DL56" i="1"/>
  <c r="EA56" i="1"/>
  <c r="DR56" i="1"/>
  <c r="DO56" i="1"/>
  <c r="DC56" i="1"/>
  <c r="EJ32" i="1"/>
  <c r="EP32" i="1"/>
  <c r="EM32" i="1"/>
  <c r="ES32" i="1"/>
  <c r="EA32" i="1"/>
  <c r="ED32" i="1"/>
  <c r="EG32" i="1"/>
  <c r="DU32" i="1"/>
  <c r="DI32" i="1"/>
  <c r="DR32" i="1"/>
  <c r="DL32" i="1"/>
  <c r="DX32" i="1"/>
  <c r="DO32" i="1"/>
  <c r="DC32" i="1"/>
  <c r="EJ8" i="1"/>
  <c r="EM8" i="1"/>
  <c r="EA8" i="1"/>
  <c r="ED8" i="1"/>
  <c r="EG8" i="1"/>
  <c r="EP8" i="1"/>
  <c r="DR8" i="1"/>
  <c r="DI8" i="1"/>
  <c r="ES8" i="1"/>
  <c r="DX8" i="1"/>
  <c r="DL8" i="1"/>
  <c r="DO8" i="1"/>
  <c r="DC8" i="1"/>
  <c r="EJ120" i="1"/>
  <c r="EQ3" i="1"/>
  <c r="ET3" i="1"/>
  <c r="EN3" i="1"/>
  <c r="EK3" i="1"/>
  <c r="EH3" i="1"/>
  <c r="EB3" i="1"/>
  <c r="EE3" i="1"/>
  <c r="DY3" i="1"/>
  <c r="DS3" i="1"/>
  <c r="DV3" i="1"/>
  <c r="DM3" i="1"/>
  <c r="DG3" i="1"/>
  <c r="DA3" i="1"/>
  <c r="CY3" i="1" s="1"/>
  <c r="DP3" i="1"/>
  <c r="DD3" i="1"/>
  <c r="DJ3" i="1"/>
  <c r="CX3" i="1"/>
  <c r="ES269" i="1"/>
  <c r="EG269" i="1"/>
  <c r="EM269" i="1"/>
  <c r="EJ269" i="1"/>
  <c r="DX269" i="1"/>
  <c r="EA269" i="1"/>
  <c r="DL269" i="1"/>
  <c r="DU269" i="1"/>
  <c r="DO269" i="1"/>
  <c r="DC269" i="1"/>
  <c r="ED269" i="1"/>
  <c r="EP269" i="1"/>
  <c r="DR269" i="1"/>
  <c r="DF269" i="1"/>
  <c r="EP265" i="1"/>
  <c r="ES265" i="1"/>
  <c r="EM265" i="1"/>
  <c r="ED265" i="1"/>
  <c r="DR265" i="1"/>
  <c r="EG265" i="1"/>
  <c r="DU265" i="1"/>
  <c r="DF265" i="1"/>
  <c r="EA265" i="1"/>
  <c r="DI265" i="1"/>
  <c r="EJ265" i="1"/>
  <c r="DX265" i="1"/>
  <c r="DL265" i="1"/>
  <c r="DK265" i="1" s="1"/>
  <c r="ES261" i="1"/>
  <c r="EP261" i="1"/>
  <c r="EG261" i="1"/>
  <c r="EJ261" i="1"/>
  <c r="DX261" i="1"/>
  <c r="EM261" i="1"/>
  <c r="EA261" i="1"/>
  <c r="DL261" i="1"/>
  <c r="DO261" i="1"/>
  <c r="DC261" i="1"/>
  <c r="DU261" i="1"/>
  <c r="DF261" i="1"/>
  <c r="EP257" i="1"/>
  <c r="EM257" i="1"/>
  <c r="ED257" i="1"/>
  <c r="DR257" i="1"/>
  <c r="ES257" i="1"/>
  <c r="EG257" i="1"/>
  <c r="DU257" i="1"/>
  <c r="DF257" i="1"/>
  <c r="EJ257" i="1"/>
  <c r="DI257" i="1"/>
  <c r="EA257" i="1"/>
  <c r="DL257" i="1"/>
  <c r="ES253" i="1"/>
  <c r="EP253" i="1"/>
  <c r="EG253" i="1"/>
  <c r="EJ253" i="1"/>
  <c r="DX253" i="1"/>
  <c r="EA253" i="1"/>
  <c r="DR253" i="1"/>
  <c r="DL253" i="1"/>
  <c r="DO253" i="1"/>
  <c r="DC253" i="1"/>
  <c r="DB253" i="1" s="1"/>
  <c r="EM253" i="1"/>
  <c r="ED253" i="1"/>
  <c r="DF253" i="1"/>
  <c r="EP249" i="1"/>
  <c r="ES249" i="1"/>
  <c r="ED249" i="1"/>
  <c r="DR249" i="1"/>
  <c r="EM249" i="1"/>
  <c r="EG249" i="1"/>
  <c r="DU249" i="1"/>
  <c r="DX249" i="1"/>
  <c r="DF249" i="1"/>
  <c r="DI249" i="1"/>
  <c r="DL249" i="1"/>
  <c r="ES245" i="1"/>
  <c r="EP245" i="1"/>
  <c r="EM245" i="1"/>
  <c r="EG245" i="1"/>
  <c r="EJ245" i="1"/>
  <c r="DX245" i="1"/>
  <c r="EA245" i="1"/>
  <c r="DU245" i="1"/>
  <c r="DL245" i="1"/>
  <c r="DR245" i="1"/>
  <c r="DO245" i="1"/>
  <c r="DC245" i="1"/>
  <c r="DF245" i="1"/>
  <c r="EP241" i="1"/>
  <c r="ED241" i="1"/>
  <c r="DR241" i="1"/>
  <c r="EG241" i="1"/>
  <c r="DU241" i="1"/>
  <c r="ES241" i="1"/>
  <c r="EM241" i="1"/>
  <c r="EA241" i="1"/>
  <c r="DF241" i="1"/>
  <c r="DX241" i="1"/>
  <c r="DI241" i="1"/>
  <c r="DL241" i="1"/>
  <c r="EJ241" i="1"/>
  <c r="ES237" i="1"/>
  <c r="EG237" i="1"/>
  <c r="EP237" i="1"/>
  <c r="EM237" i="1"/>
  <c r="EJ237" i="1"/>
  <c r="DX237" i="1"/>
  <c r="EA237" i="1"/>
  <c r="DL237" i="1"/>
  <c r="DK237" i="1" s="1"/>
  <c r="DU237" i="1"/>
  <c r="DO237" i="1"/>
  <c r="DC237" i="1"/>
  <c r="ED237" i="1"/>
  <c r="DR237" i="1"/>
  <c r="DF237" i="1"/>
  <c r="EP233" i="1"/>
  <c r="ES233" i="1"/>
  <c r="EM233" i="1"/>
  <c r="ED233" i="1"/>
  <c r="DR233" i="1"/>
  <c r="EG233" i="1"/>
  <c r="DU233" i="1"/>
  <c r="DF233" i="1"/>
  <c r="EA233" i="1"/>
  <c r="DI233" i="1"/>
  <c r="EJ233" i="1"/>
  <c r="DX233" i="1"/>
  <c r="DL233" i="1"/>
  <c r="ES229" i="1"/>
  <c r="EP229" i="1"/>
  <c r="EG229" i="1"/>
  <c r="EJ229" i="1"/>
  <c r="DX229" i="1"/>
  <c r="EM229" i="1"/>
  <c r="EA229" i="1"/>
  <c r="DL229" i="1"/>
  <c r="DO229" i="1"/>
  <c r="DC229" i="1"/>
  <c r="DB229" i="1" s="1"/>
  <c r="DU229" i="1"/>
  <c r="DF229" i="1"/>
  <c r="EP225" i="1"/>
  <c r="ES225" i="1"/>
  <c r="EM225" i="1"/>
  <c r="ED225" i="1"/>
  <c r="DR225" i="1"/>
  <c r="EG225" i="1"/>
  <c r="DU225" i="1"/>
  <c r="DF225" i="1"/>
  <c r="EJ225" i="1"/>
  <c r="DI225" i="1"/>
  <c r="EA225" i="1"/>
  <c r="DL225" i="1"/>
  <c r="ES221" i="1"/>
  <c r="EG221" i="1"/>
  <c r="EJ221" i="1"/>
  <c r="DX221" i="1"/>
  <c r="EP221" i="1"/>
  <c r="EA221" i="1"/>
  <c r="DR221" i="1"/>
  <c r="DL221" i="1"/>
  <c r="DO221" i="1"/>
  <c r="DC221" i="1"/>
  <c r="ED221" i="1"/>
  <c r="DF221" i="1"/>
  <c r="EM221" i="1"/>
  <c r="EP217" i="1"/>
  <c r="ES217" i="1"/>
  <c r="ED217" i="1"/>
  <c r="DR217" i="1"/>
  <c r="EM217" i="1"/>
  <c r="EG217" i="1"/>
  <c r="DU217" i="1"/>
  <c r="DX217" i="1"/>
  <c r="DF217" i="1"/>
  <c r="DI217" i="1"/>
  <c r="DL217" i="1"/>
  <c r="ES213" i="1"/>
  <c r="EP213" i="1"/>
  <c r="EM213" i="1"/>
  <c r="EG213" i="1"/>
  <c r="EJ213" i="1"/>
  <c r="DX213" i="1"/>
  <c r="EA213" i="1"/>
  <c r="DU213" i="1"/>
  <c r="DL213" i="1"/>
  <c r="DR213" i="1"/>
  <c r="DO213" i="1"/>
  <c r="DC213" i="1"/>
  <c r="DB213" i="1" s="1"/>
  <c r="DF213" i="1"/>
  <c r="EP209" i="1"/>
  <c r="ES209" i="1"/>
  <c r="ED209" i="1"/>
  <c r="DR209" i="1"/>
  <c r="EG209" i="1"/>
  <c r="DU209" i="1"/>
  <c r="EA209" i="1"/>
  <c r="DF209" i="1"/>
  <c r="EM209" i="1"/>
  <c r="DX209" i="1"/>
  <c r="DI209" i="1"/>
  <c r="DL209" i="1"/>
  <c r="EJ209" i="1"/>
  <c r="ES205" i="1"/>
  <c r="EG205" i="1"/>
  <c r="EM205" i="1"/>
  <c r="EJ205" i="1"/>
  <c r="DX205" i="1"/>
  <c r="EA205" i="1"/>
  <c r="DL205" i="1"/>
  <c r="DU205" i="1"/>
  <c r="DO205" i="1"/>
  <c r="DC205" i="1"/>
  <c r="ED205" i="1"/>
  <c r="DR205" i="1"/>
  <c r="DF205" i="1"/>
  <c r="EP201" i="1"/>
  <c r="ES201" i="1"/>
  <c r="EM201" i="1"/>
  <c r="ED201" i="1"/>
  <c r="DR201" i="1"/>
  <c r="EG201" i="1"/>
  <c r="DU201" i="1"/>
  <c r="DF201" i="1"/>
  <c r="EA201" i="1"/>
  <c r="DI201" i="1"/>
  <c r="EJ201" i="1"/>
  <c r="DX201" i="1"/>
  <c r="DL201" i="1"/>
  <c r="DK201" i="1" s="1"/>
  <c r="ES197" i="1"/>
  <c r="EP197" i="1"/>
  <c r="EG197" i="1"/>
  <c r="EJ197" i="1"/>
  <c r="DX197" i="1"/>
  <c r="EM197" i="1"/>
  <c r="EA197" i="1"/>
  <c r="DL197" i="1"/>
  <c r="DO197" i="1"/>
  <c r="DC197" i="1"/>
  <c r="DU197" i="1"/>
  <c r="DF197" i="1"/>
  <c r="EP193" i="1"/>
  <c r="EM193" i="1"/>
  <c r="ED193" i="1"/>
  <c r="DR193" i="1"/>
  <c r="ES193" i="1"/>
  <c r="EG193" i="1"/>
  <c r="DU193" i="1"/>
  <c r="DF193" i="1"/>
  <c r="EJ193" i="1"/>
  <c r="DI193" i="1"/>
  <c r="EA193" i="1"/>
  <c r="DL193" i="1"/>
  <c r="DK193" i="1" s="1"/>
  <c r="ES189" i="1"/>
  <c r="EP189" i="1"/>
  <c r="EG189" i="1"/>
  <c r="EJ189" i="1"/>
  <c r="DX189" i="1"/>
  <c r="EA189" i="1"/>
  <c r="DR189" i="1"/>
  <c r="DL189" i="1"/>
  <c r="DO189" i="1"/>
  <c r="DC189" i="1"/>
  <c r="ED189" i="1"/>
  <c r="DF189" i="1"/>
  <c r="EP185" i="1"/>
  <c r="ES185" i="1"/>
  <c r="ED185" i="1"/>
  <c r="DR185" i="1"/>
  <c r="EM185" i="1"/>
  <c r="EG185" i="1"/>
  <c r="DU185" i="1"/>
  <c r="DX185" i="1"/>
  <c r="DF185" i="1"/>
  <c r="DI185" i="1"/>
  <c r="DL185" i="1"/>
  <c r="ES181" i="1"/>
  <c r="EP181" i="1"/>
  <c r="EM181" i="1"/>
  <c r="EG181" i="1"/>
  <c r="EJ181" i="1"/>
  <c r="DX181" i="1"/>
  <c r="EA181" i="1"/>
  <c r="DU181" i="1"/>
  <c r="DL181" i="1"/>
  <c r="DR181" i="1"/>
  <c r="DO181" i="1"/>
  <c r="DC181" i="1"/>
  <c r="DF181" i="1"/>
  <c r="EP177" i="1"/>
  <c r="ED177" i="1"/>
  <c r="DR177" i="1"/>
  <c r="EG177" i="1"/>
  <c r="DU177" i="1"/>
  <c r="EA177" i="1"/>
  <c r="DF177" i="1"/>
  <c r="ES177" i="1"/>
  <c r="DX177" i="1"/>
  <c r="DI177" i="1"/>
  <c r="EM177" i="1"/>
  <c r="DL177" i="1"/>
  <c r="DK177" i="1" s="1"/>
  <c r="EJ177" i="1"/>
  <c r="ES173" i="1"/>
  <c r="EG173" i="1"/>
  <c r="EP173" i="1"/>
  <c r="EM173" i="1"/>
  <c r="EJ173" i="1"/>
  <c r="DX173" i="1"/>
  <c r="EA173" i="1"/>
  <c r="DL173" i="1"/>
  <c r="DU173" i="1"/>
  <c r="DO173" i="1"/>
  <c r="DC173" i="1"/>
  <c r="ED173" i="1"/>
  <c r="DR173" i="1"/>
  <c r="DF173" i="1"/>
  <c r="EP169" i="1"/>
  <c r="ES169" i="1"/>
  <c r="EM169" i="1"/>
  <c r="ED169" i="1"/>
  <c r="DR169" i="1"/>
  <c r="EG169" i="1"/>
  <c r="DU169" i="1"/>
  <c r="DF169" i="1"/>
  <c r="EA169" i="1"/>
  <c r="DI169" i="1"/>
  <c r="EJ169" i="1"/>
  <c r="DX169" i="1"/>
  <c r="DL169" i="1"/>
  <c r="ES165" i="1"/>
  <c r="EP165" i="1"/>
  <c r="EG165" i="1"/>
  <c r="EJ165" i="1"/>
  <c r="DX165" i="1"/>
  <c r="EM165" i="1"/>
  <c r="EA165" i="1"/>
  <c r="DL165" i="1"/>
  <c r="ED165" i="1"/>
  <c r="DO165" i="1"/>
  <c r="DC165" i="1"/>
  <c r="DB165" i="1" s="1"/>
  <c r="DU165" i="1"/>
  <c r="DF165" i="1"/>
  <c r="DE165" i="1" s="1"/>
  <c r="EP161" i="1"/>
  <c r="ES161" i="1"/>
  <c r="EM161" i="1"/>
  <c r="ED161" i="1"/>
  <c r="DR161" i="1"/>
  <c r="EG161" i="1"/>
  <c r="DU161" i="1"/>
  <c r="DF161" i="1"/>
  <c r="DE161" i="1" s="1"/>
  <c r="EJ161" i="1"/>
  <c r="DI161" i="1"/>
  <c r="EA161" i="1"/>
  <c r="DL161" i="1"/>
  <c r="ES157" i="1"/>
  <c r="EG157" i="1"/>
  <c r="EJ157" i="1"/>
  <c r="DX157" i="1"/>
  <c r="EP157" i="1"/>
  <c r="EA157" i="1"/>
  <c r="DR157" i="1"/>
  <c r="DL157" i="1"/>
  <c r="EM157" i="1"/>
  <c r="DO157" i="1"/>
  <c r="DC157" i="1"/>
  <c r="DF157" i="1"/>
  <c r="EP153" i="1"/>
  <c r="ES153" i="1"/>
  <c r="ED153" i="1"/>
  <c r="DR153" i="1"/>
  <c r="EM153" i="1"/>
  <c r="EG153" i="1"/>
  <c r="DU153" i="1"/>
  <c r="DX153" i="1"/>
  <c r="DF153" i="1"/>
  <c r="DI153" i="1"/>
  <c r="DH153" i="1" s="1"/>
  <c r="DL153" i="1"/>
  <c r="ES149" i="1"/>
  <c r="EP149" i="1"/>
  <c r="EM149" i="1"/>
  <c r="EG149" i="1"/>
  <c r="EJ149" i="1"/>
  <c r="DX149" i="1"/>
  <c r="EA149" i="1"/>
  <c r="DU149" i="1"/>
  <c r="DL149" i="1"/>
  <c r="DR149" i="1"/>
  <c r="DO149" i="1"/>
  <c r="DC149" i="1"/>
  <c r="DF149" i="1"/>
  <c r="ED149" i="1"/>
  <c r="EP145" i="1"/>
  <c r="ES145" i="1"/>
  <c r="ED145" i="1"/>
  <c r="DR145" i="1"/>
  <c r="EG145" i="1"/>
  <c r="DU145" i="1"/>
  <c r="EA145" i="1"/>
  <c r="DF145" i="1"/>
  <c r="DX145" i="1"/>
  <c r="DI145" i="1"/>
  <c r="DL145" i="1"/>
  <c r="DK145" i="1" s="1"/>
  <c r="EJ145" i="1"/>
  <c r="ES141" i="1"/>
  <c r="EG141" i="1"/>
  <c r="EJ141" i="1"/>
  <c r="DX141" i="1"/>
  <c r="EM141" i="1"/>
  <c r="EA141" i="1"/>
  <c r="EP141" i="1"/>
  <c r="DL141" i="1"/>
  <c r="DU141" i="1"/>
  <c r="DO141" i="1"/>
  <c r="DC141" i="1"/>
  <c r="ED141" i="1"/>
  <c r="DR141" i="1"/>
  <c r="DF141" i="1"/>
  <c r="EP137" i="1"/>
  <c r="ES137" i="1"/>
  <c r="EM137" i="1"/>
  <c r="ED137" i="1"/>
  <c r="DR137" i="1"/>
  <c r="EG137" i="1"/>
  <c r="DU137" i="1"/>
  <c r="DF137" i="1"/>
  <c r="EA137" i="1"/>
  <c r="DI137" i="1"/>
  <c r="EJ137" i="1"/>
  <c r="DX137" i="1"/>
  <c r="DL137" i="1"/>
  <c r="DK137" i="1" s="1"/>
  <c r="ES133" i="1"/>
  <c r="EP133" i="1"/>
  <c r="EM133" i="1"/>
  <c r="EG133" i="1"/>
  <c r="EJ133" i="1"/>
  <c r="DX133" i="1"/>
  <c r="EA133" i="1"/>
  <c r="DL133" i="1"/>
  <c r="ED133" i="1"/>
  <c r="DO133" i="1"/>
  <c r="DC133" i="1"/>
  <c r="DU133" i="1"/>
  <c r="DF133" i="1"/>
  <c r="EP129" i="1"/>
  <c r="ED129" i="1"/>
  <c r="DR129" i="1"/>
  <c r="ES129" i="1"/>
  <c r="EG129" i="1"/>
  <c r="DU129" i="1"/>
  <c r="DF129" i="1"/>
  <c r="EJ129" i="1"/>
  <c r="DI129" i="1"/>
  <c r="EM129" i="1"/>
  <c r="EA129" i="1"/>
  <c r="DL129" i="1"/>
  <c r="ES125" i="1"/>
  <c r="EP125" i="1"/>
  <c r="EG125" i="1"/>
  <c r="EJ125" i="1"/>
  <c r="DX125" i="1"/>
  <c r="EM125" i="1"/>
  <c r="EA125" i="1"/>
  <c r="DR125" i="1"/>
  <c r="DL125" i="1"/>
  <c r="DO125" i="1"/>
  <c r="DC125" i="1"/>
  <c r="DF125" i="1"/>
  <c r="EP121" i="1"/>
  <c r="ES121" i="1"/>
  <c r="EM121" i="1"/>
  <c r="ED121" i="1"/>
  <c r="DR121" i="1"/>
  <c r="EG121" i="1"/>
  <c r="DU121" i="1"/>
  <c r="DX121" i="1"/>
  <c r="DF121" i="1"/>
  <c r="DI121" i="1"/>
  <c r="DL121" i="1"/>
  <c r="ES117" i="1"/>
  <c r="EP117" i="1"/>
  <c r="EM117" i="1"/>
  <c r="EG117" i="1"/>
  <c r="EJ117" i="1"/>
  <c r="DX117" i="1"/>
  <c r="EA117" i="1"/>
  <c r="DU117" i="1"/>
  <c r="DL117" i="1"/>
  <c r="DR117" i="1"/>
  <c r="DO117" i="1"/>
  <c r="DC117" i="1"/>
  <c r="DF117" i="1"/>
  <c r="ED117" i="1"/>
  <c r="EP113" i="1"/>
  <c r="ED113" i="1"/>
  <c r="DR113" i="1"/>
  <c r="EG113" i="1"/>
  <c r="DU113" i="1"/>
  <c r="EA113" i="1"/>
  <c r="DF113" i="1"/>
  <c r="EM113" i="1"/>
  <c r="DX113" i="1"/>
  <c r="DI113" i="1"/>
  <c r="ES113" i="1"/>
  <c r="DL113" i="1"/>
  <c r="EJ113" i="1"/>
  <c r="ES109" i="1"/>
  <c r="EG109" i="1"/>
  <c r="EP109" i="1"/>
  <c r="EJ109" i="1"/>
  <c r="DX109" i="1"/>
  <c r="EM109" i="1"/>
  <c r="EA109" i="1"/>
  <c r="DL109" i="1"/>
  <c r="DU109" i="1"/>
  <c r="DO109" i="1"/>
  <c r="DC109" i="1"/>
  <c r="ED109" i="1"/>
  <c r="DR109" i="1"/>
  <c r="DF109" i="1"/>
  <c r="EP105" i="1"/>
  <c r="ES105" i="1"/>
  <c r="EM105" i="1"/>
  <c r="ED105" i="1"/>
  <c r="DR105" i="1"/>
  <c r="EG105" i="1"/>
  <c r="DU105" i="1"/>
  <c r="DF105" i="1"/>
  <c r="EA105" i="1"/>
  <c r="DI105" i="1"/>
  <c r="DH105" i="1" s="1"/>
  <c r="EJ105" i="1"/>
  <c r="DX105" i="1"/>
  <c r="DL105" i="1"/>
  <c r="ES101" i="1"/>
  <c r="EP101" i="1"/>
  <c r="EM101" i="1"/>
  <c r="EG101" i="1"/>
  <c r="EJ101" i="1"/>
  <c r="DX101" i="1"/>
  <c r="EA101" i="1"/>
  <c r="DL101" i="1"/>
  <c r="ED101" i="1"/>
  <c r="DO101" i="1"/>
  <c r="DC101" i="1"/>
  <c r="DU101" i="1"/>
  <c r="DF101" i="1"/>
  <c r="EP97" i="1"/>
  <c r="ES97" i="1"/>
  <c r="ED97" i="1"/>
  <c r="DR97" i="1"/>
  <c r="EG97" i="1"/>
  <c r="DU97" i="1"/>
  <c r="EM97" i="1"/>
  <c r="DF97" i="1"/>
  <c r="EJ97" i="1"/>
  <c r="DI97" i="1"/>
  <c r="EA97" i="1"/>
  <c r="DL97" i="1"/>
  <c r="ES93" i="1"/>
  <c r="EG93" i="1"/>
  <c r="EJ93" i="1"/>
  <c r="DX93" i="1"/>
  <c r="EP93" i="1"/>
  <c r="EM93" i="1"/>
  <c r="EA93" i="1"/>
  <c r="DR93" i="1"/>
  <c r="DL93" i="1"/>
  <c r="DO93" i="1"/>
  <c r="DC93" i="1"/>
  <c r="DF93" i="1"/>
  <c r="EP89" i="1"/>
  <c r="ES89" i="1"/>
  <c r="EM89" i="1"/>
  <c r="ED89" i="1"/>
  <c r="DR89" i="1"/>
  <c r="EG89" i="1"/>
  <c r="DU89" i="1"/>
  <c r="DX89" i="1"/>
  <c r="DF89" i="1"/>
  <c r="DI89" i="1"/>
  <c r="DH89" i="1" s="1"/>
  <c r="DL89" i="1"/>
  <c r="ES85" i="1"/>
  <c r="EP85" i="1"/>
  <c r="EM85" i="1"/>
  <c r="EG85" i="1"/>
  <c r="DX85" i="1"/>
  <c r="EJ85" i="1"/>
  <c r="EA85" i="1"/>
  <c r="DU85" i="1"/>
  <c r="DL85" i="1"/>
  <c r="DR85" i="1"/>
  <c r="DO85" i="1"/>
  <c r="DC85" i="1"/>
  <c r="DB85" i="1" s="1"/>
  <c r="DF85" i="1"/>
  <c r="DE85" i="1" s="1"/>
  <c r="ED85" i="1"/>
  <c r="EP81" i="1"/>
  <c r="EJ81" i="1"/>
  <c r="ES81" i="1"/>
  <c r="ED81" i="1"/>
  <c r="DR81" i="1"/>
  <c r="EG81" i="1"/>
  <c r="DU81" i="1"/>
  <c r="EA81" i="1"/>
  <c r="DF81" i="1"/>
  <c r="DX81" i="1"/>
  <c r="DI81" i="1"/>
  <c r="DL81" i="1"/>
  <c r="ES77" i="1"/>
  <c r="EJ77" i="1"/>
  <c r="EG77" i="1"/>
  <c r="DX77" i="1"/>
  <c r="EM77" i="1"/>
  <c r="EA77" i="1"/>
  <c r="DL77" i="1"/>
  <c r="EP77" i="1"/>
  <c r="DU77" i="1"/>
  <c r="DO77" i="1"/>
  <c r="DC77" i="1"/>
  <c r="ED77" i="1"/>
  <c r="DR77" i="1"/>
  <c r="DF77" i="1"/>
  <c r="EP73" i="1"/>
  <c r="ES73" i="1"/>
  <c r="EM73" i="1"/>
  <c r="EJ73" i="1"/>
  <c r="ED73" i="1"/>
  <c r="DR73" i="1"/>
  <c r="EG73" i="1"/>
  <c r="DU73" i="1"/>
  <c r="DF73" i="1"/>
  <c r="EA73" i="1"/>
  <c r="DI73" i="1"/>
  <c r="DX73" i="1"/>
  <c r="DL73" i="1"/>
  <c r="ES69" i="1"/>
  <c r="EP69" i="1"/>
  <c r="EJ69" i="1"/>
  <c r="EM69" i="1"/>
  <c r="EG69" i="1"/>
  <c r="DX69" i="1"/>
  <c r="EA69" i="1"/>
  <c r="DL69" i="1"/>
  <c r="ED69" i="1"/>
  <c r="DO69" i="1"/>
  <c r="DC69" i="1"/>
  <c r="DU69" i="1"/>
  <c r="DF69" i="1"/>
  <c r="EP65" i="1"/>
  <c r="ED65" i="1"/>
  <c r="DR65" i="1"/>
  <c r="EJ65" i="1"/>
  <c r="ES65" i="1"/>
  <c r="EG65" i="1"/>
  <c r="DU65" i="1"/>
  <c r="DF65" i="1"/>
  <c r="DI65" i="1"/>
  <c r="EM65" i="1"/>
  <c r="EA65" i="1"/>
  <c r="DL65" i="1"/>
  <c r="ES61" i="1"/>
  <c r="EJ61" i="1"/>
  <c r="EP61" i="1"/>
  <c r="EG61" i="1"/>
  <c r="DX61" i="1"/>
  <c r="EM61" i="1"/>
  <c r="EA61" i="1"/>
  <c r="DR61" i="1"/>
  <c r="DL61" i="1"/>
  <c r="DO61" i="1"/>
  <c r="DC61" i="1"/>
  <c r="DF61" i="1"/>
  <c r="EP57" i="1"/>
  <c r="ES57" i="1"/>
  <c r="EM57" i="1"/>
  <c r="ED57" i="1"/>
  <c r="DR57" i="1"/>
  <c r="EG57" i="1"/>
  <c r="DU57" i="1"/>
  <c r="EJ57" i="1"/>
  <c r="DX57" i="1"/>
  <c r="DF57" i="1"/>
  <c r="DI57" i="1"/>
  <c r="DL57" i="1"/>
  <c r="ES53" i="1"/>
  <c r="EJ53" i="1"/>
  <c r="EP53" i="1"/>
  <c r="EM53" i="1"/>
  <c r="EG53" i="1"/>
  <c r="DX53" i="1"/>
  <c r="EA53" i="1"/>
  <c r="DU53" i="1"/>
  <c r="DL53" i="1"/>
  <c r="DR53" i="1"/>
  <c r="DO53" i="1"/>
  <c r="DC53" i="1"/>
  <c r="DF53" i="1"/>
  <c r="ED53" i="1"/>
  <c r="EP49" i="1"/>
  <c r="EJ49" i="1"/>
  <c r="ED49" i="1"/>
  <c r="DR49" i="1"/>
  <c r="EG49" i="1"/>
  <c r="DU49" i="1"/>
  <c r="EA49" i="1"/>
  <c r="DF49" i="1"/>
  <c r="EM49" i="1"/>
  <c r="DX49" i="1"/>
  <c r="DI49" i="1"/>
  <c r="DL49" i="1"/>
  <c r="ES45" i="1"/>
  <c r="EJ45" i="1"/>
  <c r="EG45" i="1"/>
  <c r="EP45" i="1"/>
  <c r="DX45" i="1"/>
  <c r="EM45" i="1"/>
  <c r="EA45" i="1"/>
  <c r="DL45" i="1"/>
  <c r="DU45" i="1"/>
  <c r="DO45" i="1"/>
  <c r="DC45" i="1"/>
  <c r="ED45" i="1"/>
  <c r="DR45" i="1"/>
  <c r="DF45" i="1"/>
  <c r="EP41" i="1"/>
  <c r="ES41" i="1"/>
  <c r="EM41" i="1"/>
  <c r="EJ41" i="1"/>
  <c r="ED41" i="1"/>
  <c r="DR41" i="1"/>
  <c r="EG41" i="1"/>
  <c r="DU41" i="1"/>
  <c r="DF41" i="1"/>
  <c r="DE41" i="1" s="1"/>
  <c r="EA41" i="1"/>
  <c r="DI41" i="1"/>
  <c r="DX41" i="1"/>
  <c r="DL41" i="1"/>
  <c r="ES37" i="1"/>
  <c r="EP37" i="1"/>
  <c r="EJ37" i="1"/>
  <c r="EM37" i="1"/>
  <c r="EG37" i="1"/>
  <c r="DX37" i="1"/>
  <c r="EA37" i="1"/>
  <c r="DL37" i="1"/>
  <c r="ED37" i="1"/>
  <c r="DO37" i="1"/>
  <c r="DC37" i="1"/>
  <c r="DU37" i="1"/>
  <c r="DF37" i="1"/>
  <c r="EP33" i="1"/>
  <c r="ES33" i="1"/>
  <c r="ED33" i="1"/>
  <c r="DR33" i="1"/>
  <c r="EJ33" i="1"/>
  <c r="EG33" i="1"/>
  <c r="DU33" i="1"/>
  <c r="EM33" i="1"/>
  <c r="DF33" i="1"/>
  <c r="DI33" i="1"/>
  <c r="EA33" i="1"/>
  <c r="DL33" i="1"/>
  <c r="ES29" i="1"/>
  <c r="EJ29" i="1"/>
  <c r="EG29" i="1"/>
  <c r="DX29" i="1"/>
  <c r="EP29" i="1"/>
  <c r="EM29" i="1"/>
  <c r="EA29" i="1"/>
  <c r="DR29" i="1"/>
  <c r="DL29" i="1"/>
  <c r="DO29" i="1"/>
  <c r="DC29" i="1"/>
  <c r="DF29" i="1"/>
  <c r="EP25" i="1"/>
  <c r="ES25" i="1"/>
  <c r="EM25" i="1"/>
  <c r="ED25" i="1"/>
  <c r="DR25" i="1"/>
  <c r="EG25" i="1"/>
  <c r="DU25" i="1"/>
  <c r="EA25" i="1"/>
  <c r="DX25" i="1"/>
  <c r="DF25" i="1"/>
  <c r="EJ25" i="1"/>
  <c r="DI25" i="1"/>
  <c r="DL25" i="1"/>
  <c r="ES21" i="1"/>
  <c r="EJ21" i="1"/>
  <c r="EP21" i="1"/>
  <c r="EM21" i="1"/>
  <c r="EG21" i="1"/>
  <c r="DX21" i="1"/>
  <c r="EA21" i="1"/>
  <c r="DU21" i="1"/>
  <c r="DL21" i="1"/>
  <c r="DR21" i="1"/>
  <c r="DO21" i="1"/>
  <c r="DC21" i="1"/>
  <c r="DF21" i="1"/>
  <c r="ED21" i="1"/>
  <c r="EP17" i="1"/>
  <c r="EJ17" i="1"/>
  <c r="ES17" i="1"/>
  <c r="ED17" i="1"/>
  <c r="DR17" i="1"/>
  <c r="EG17" i="1"/>
  <c r="DU17" i="1"/>
  <c r="DF17" i="1"/>
  <c r="DX17" i="1"/>
  <c r="DI17" i="1"/>
  <c r="EA17" i="1"/>
  <c r="DL17" i="1"/>
  <c r="ES13" i="1"/>
  <c r="EJ13" i="1"/>
  <c r="EG13" i="1"/>
  <c r="DX13" i="1"/>
  <c r="EM13" i="1"/>
  <c r="EA13" i="1"/>
  <c r="DL13" i="1"/>
  <c r="DU13" i="1"/>
  <c r="DO13" i="1"/>
  <c r="DC13" i="1"/>
  <c r="ED13" i="1"/>
  <c r="EP13" i="1"/>
  <c r="DR13" i="1"/>
  <c r="DF13" i="1"/>
  <c r="EP9" i="1"/>
  <c r="ES9" i="1"/>
  <c r="EM9" i="1"/>
  <c r="EJ9" i="1"/>
  <c r="ED9" i="1"/>
  <c r="DR9" i="1"/>
  <c r="EG9" i="1"/>
  <c r="DU9" i="1"/>
  <c r="EA9" i="1"/>
  <c r="DF9" i="1"/>
  <c r="DI9" i="1"/>
  <c r="DX9" i="1"/>
  <c r="DL9" i="1"/>
  <c r="ES5" i="1"/>
  <c r="EP5" i="1"/>
  <c r="EJ5" i="1"/>
  <c r="EM5" i="1"/>
  <c r="EG5" i="1"/>
  <c r="DX5" i="1"/>
  <c r="EA5" i="1"/>
  <c r="DL5" i="1"/>
  <c r="ED5" i="1"/>
  <c r="DO5" i="1"/>
  <c r="DC5" i="1"/>
  <c r="DU5" i="1"/>
  <c r="DF5" i="1"/>
  <c r="CW267" i="1"/>
  <c r="CV267" i="1" s="1"/>
  <c r="CW259" i="1"/>
  <c r="CV259" i="1" s="1"/>
  <c r="CW251" i="1"/>
  <c r="CW243" i="1"/>
  <c r="CW235" i="1"/>
  <c r="CW227" i="1"/>
  <c r="CW219" i="1"/>
  <c r="CW211" i="1"/>
  <c r="CW203" i="1"/>
  <c r="CV203" i="1" s="1"/>
  <c r="CW195" i="1"/>
  <c r="CW187" i="1"/>
  <c r="CV187" i="1" s="1"/>
  <c r="CW179" i="1"/>
  <c r="CW171" i="1"/>
  <c r="CW163" i="1"/>
  <c r="CW155" i="1"/>
  <c r="CW147" i="1"/>
  <c r="CW139" i="1"/>
  <c r="CW131" i="1"/>
  <c r="CW123" i="1"/>
  <c r="CV123" i="1" s="1"/>
  <c r="CW115" i="1"/>
  <c r="CW107" i="1"/>
  <c r="CW99" i="1"/>
  <c r="CW91" i="1"/>
  <c r="CW83" i="1"/>
  <c r="CW75" i="1"/>
  <c r="CW67" i="1"/>
  <c r="CV67" i="1" s="1"/>
  <c r="CW59" i="1"/>
  <c r="CV59" i="1" s="1"/>
  <c r="CW51" i="1"/>
  <c r="CW43" i="1"/>
  <c r="CV43" i="1" s="1"/>
  <c r="CW35" i="1"/>
  <c r="CV35" i="1" s="1"/>
  <c r="CW27" i="1"/>
  <c r="CW19" i="1"/>
  <c r="CW11" i="1"/>
  <c r="CW3" i="1"/>
  <c r="DC265" i="1"/>
  <c r="DC233" i="1"/>
  <c r="DC201" i="1"/>
  <c r="DC169" i="1"/>
  <c r="DC137" i="1"/>
  <c r="DB137" i="1" s="1"/>
  <c r="DC105" i="1"/>
  <c r="DC73" i="1"/>
  <c r="DC41" i="1"/>
  <c r="DC9" i="1"/>
  <c r="DF247" i="1"/>
  <c r="DF215" i="1"/>
  <c r="DF183" i="1"/>
  <c r="DE183" i="1" s="1"/>
  <c r="DF151" i="1"/>
  <c r="DF119" i="1"/>
  <c r="DE119" i="1" s="1"/>
  <c r="DF87" i="1"/>
  <c r="DF55" i="1"/>
  <c r="DF23" i="1"/>
  <c r="DI261" i="1"/>
  <c r="DH261" i="1" s="1"/>
  <c r="DI229" i="1"/>
  <c r="DI197" i="1"/>
  <c r="DI165" i="1"/>
  <c r="DI133" i="1"/>
  <c r="DI101" i="1"/>
  <c r="DI69" i="1"/>
  <c r="DI37" i="1"/>
  <c r="DI5" i="1"/>
  <c r="DL243" i="1"/>
  <c r="DL211" i="1"/>
  <c r="DL179" i="1"/>
  <c r="DL147" i="1"/>
  <c r="DL115" i="1"/>
  <c r="DK115" i="1" s="1"/>
  <c r="DL83" i="1"/>
  <c r="DL51" i="1"/>
  <c r="DK51" i="1" s="1"/>
  <c r="DL19" i="1"/>
  <c r="DK19" i="1" s="1"/>
  <c r="DO257" i="1"/>
  <c r="DO225" i="1"/>
  <c r="DO193" i="1"/>
  <c r="DO161" i="1"/>
  <c r="DO129" i="1"/>
  <c r="DO97" i="1"/>
  <c r="DO65" i="1"/>
  <c r="DO33" i="1"/>
  <c r="DR271" i="1"/>
  <c r="DR229" i="1"/>
  <c r="DR186" i="1"/>
  <c r="DR143" i="1"/>
  <c r="DR101" i="1"/>
  <c r="DR58" i="1"/>
  <c r="DR15" i="1"/>
  <c r="DU243" i="1"/>
  <c r="DU200" i="1"/>
  <c r="DU157" i="1"/>
  <c r="DU115" i="1"/>
  <c r="DU72" i="1"/>
  <c r="DU29" i="1"/>
  <c r="DX257" i="1"/>
  <c r="DX214" i="1"/>
  <c r="DX171" i="1"/>
  <c r="DX129" i="1"/>
  <c r="DX86" i="1"/>
  <c r="DX43" i="1"/>
  <c r="EA271" i="1"/>
  <c r="EA228" i="1"/>
  <c r="EA185" i="1"/>
  <c r="EA143" i="1"/>
  <c r="EA100" i="1"/>
  <c r="EA57" i="1"/>
  <c r="EA6" i="1"/>
  <c r="ED212" i="1"/>
  <c r="ED124" i="1"/>
  <c r="EG266" i="1"/>
  <c r="EG138" i="1"/>
  <c r="EG10" i="1"/>
  <c r="EJ152" i="1"/>
  <c r="EJ3" i="1"/>
  <c r="EM81" i="1"/>
  <c r="EP35" i="1"/>
  <c r="CX233" i="1"/>
  <c r="DD263" i="1"/>
  <c r="DM195" i="1"/>
  <c r="E25" i="3"/>
  <c r="F25" i="3"/>
  <c r="H25" i="3"/>
  <c r="E10" i="3"/>
  <c r="F10" i="3"/>
  <c r="AI4" i="1"/>
  <c r="AJ4" i="1"/>
  <c r="AK4" i="1"/>
  <c r="AL4" i="1"/>
  <c r="AI5" i="1"/>
  <c r="AJ5" i="1"/>
  <c r="AK5" i="1"/>
  <c r="AL5" i="1"/>
  <c r="AI6" i="1"/>
  <c r="AJ6" i="1"/>
  <c r="AK6" i="1"/>
  <c r="AL6" i="1"/>
  <c r="AI7" i="1"/>
  <c r="AJ7" i="1"/>
  <c r="AK7" i="1"/>
  <c r="AL7" i="1"/>
  <c r="AI8" i="1"/>
  <c r="AJ8" i="1"/>
  <c r="AK8" i="1"/>
  <c r="AL8" i="1"/>
  <c r="AI9" i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22" i="1"/>
  <c r="AJ22" i="1"/>
  <c r="AK22" i="1"/>
  <c r="AL22" i="1"/>
  <c r="AI23" i="1"/>
  <c r="AJ23" i="1"/>
  <c r="AK23" i="1"/>
  <c r="AL23" i="1"/>
  <c r="AI24" i="1"/>
  <c r="AJ24" i="1"/>
  <c r="AK24" i="1"/>
  <c r="AL24" i="1"/>
  <c r="AI25" i="1"/>
  <c r="AJ25" i="1"/>
  <c r="AK25" i="1"/>
  <c r="AL25" i="1"/>
  <c r="AI26" i="1"/>
  <c r="AJ26" i="1"/>
  <c r="AK26" i="1"/>
  <c r="AL26" i="1"/>
  <c r="AI27" i="1"/>
  <c r="AJ27" i="1"/>
  <c r="AK27" i="1"/>
  <c r="AL27" i="1"/>
  <c r="AI28" i="1"/>
  <c r="AJ28" i="1"/>
  <c r="AK28" i="1"/>
  <c r="AL28" i="1"/>
  <c r="AI29" i="1"/>
  <c r="AJ29" i="1"/>
  <c r="AK29" i="1"/>
  <c r="AL29" i="1"/>
  <c r="AI30" i="1"/>
  <c r="AJ30" i="1"/>
  <c r="AK30" i="1"/>
  <c r="AL30" i="1"/>
  <c r="AI31" i="1"/>
  <c r="AJ31" i="1"/>
  <c r="AK31" i="1"/>
  <c r="AL31" i="1"/>
  <c r="AI32" i="1"/>
  <c r="AJ32" i="1"/>
  <c r="AK32" i="1"/>
  <c r="AL32" i="1"/>
  <c r="AI33" i="1"/>
  <c r="AJ33" i="1"/>
  <c r="AK33" i="1"/>
  <c r="AL33" i="1"/>
  <c r="AI34" i="1"/>
  <c r="AJ34" i="1"/>
  <c r="AK34" i="1"/>
  <c r="AL34" i="1"/>
  <c r="AI35" i="1"/>
  <c r="AJ35" i="1"/>
  <c r="AK35" i="1"/>
  <c r="AL35" i="1"/>
  <c r="AI36" i="1"/>
  <c r="AJ36" i="1"/>
  <c r="AK36" i="1"/>
  <c r="AL36" i="1"/>
  <c r="AI37" i="1"/>
  <c r="AJ37" i="1"/>
  <c r="AK37" i="1"/>
  <c r="AL37" i="1"/>
  <c r="AI38" i="1"/>
  <c r="AJ38" i="1"/>
  <c r="AK38" i="1"/>
  <c r="AL38" i="1"/>
  <c r="AI39" i="1"/>
  <c r="AJ39" i="1"/>
  <c r="AK39" i="1"/>
  <c r="AL39" i="1"/>
  <c r="AI40" i="1"/>
  <c r="AJ40" i="1"/>
  <c r="AK40" i="1"/>
  <c r="AL40" i="1"/>
  <c r="AI41" i="1"/>
  <c r="AJ41" i="1"/>
  <c r="AK41" i="1"/>
  <c r="AL41" i="1"/>
  <c r="AI42" i="1"/>
  <c r="AJ42" i="1"/>
  <c r="AK42" i="1"/>
  <c r="AL42" i="1"/>
  <c r="AI43" i="1"/>
  <c r="AJ43" i="1"/>
  <c r="AK43" i="1"/>
  <c r="AL43" i="1"/>
  <c r="AI44" i="1"/>
  <c r="AJ44" i="1"/>
  <c r="AK44" i="1"/>
  <c r="AL44" i="1"/>
  <c r="AI45" i="1"/>
  <c r="AJ45" i="1"/>
  <c r="AK45" i="1"/>
  <c r="AL45" i="1"/>
  <c r="AI46" i="1"/>
  <c r="AJ46" i="1"/>
  <c r="AK46" i="1"/>
  <c r="AL46" i="1"/>
  <c r="AI47" i="1"/>
  <c r="AJ47" i="1"/>
  <c r="AK47" i="1"/>
  <c r="AL47" i="1"/>
  <c r="AI48" i="1"/>
  <c r="AJ48" i="1"/>
  <c r="AK48" i="1"/>
  <c r="AL48" i="1"/>
  <c r="AI49" i="1"/>
  <c r="AJ49" i="1"/>
  <c r="AK49" i="1"/>
  <c r="AL49" i="1"/>
  <c r="AI50" i="1"/>
  <c r="AJ50" i="1"/>
  <c r="AK50" i="1"/>
  <c r="AL50" i="1"/>
  <c r="AI51" i="1"/>
  <c r="AJ51" i="1"/>
  <c r="AK51" i="1"/>
  <c r="AL51" i="1"/>
  <c r="AI52" i="1"/>
  <c r="AJ52" i="1"/>
  <c r="AK52" i="1"/>
  <c r="AL52" i="1"/>
  <c r="AI53" i="1"/>
  <c r="AJ53" i="1"/>
  <c r="AK53" i="1"/>
  <c r="AL53" i="1"/>
  <c r="AI54" i="1"/>
  <c r="AJ54" i="1"/>
  <c r="AK54" i="1"/>
  <c r="AL54" i="1"/>
  <c r="AI55" i="1"/>
  <c r="AJ55" i="1"/>
  <c r="AK55" i="1"/>
  <c r="AL55" i="1"/>
  <c r="AI56" i="1"/>
  <c r="AJ56" i="1"/>
  <c r="AK56" i="1"/>
  <c r="AL56" i="1"/>
  <c r="AI57" i="1"/>
  <c r="AJ57" i="1"/>
  <c r="AK57" i="1"/>
  <c r="AL57" i="1"/>
  <c r="AI58" i="1"/>
  <c r="AJ58" i="1"/>
  <c r="AK58" i="1"/>
  <c r="AL58" i="1"/>
  <c r="AI59" i="1"/>
  <c r="AJ59" i="1"/>
  <c r="AK59" i="1"/>
  <c r="AL59" i="1"/>
  <c r="AI60" i="1"/>
  <c r="AJ60" i="1"/>
  <c r="AK60" i="1"/>
  <c r="AL60" i="1"/>
  <c r="AI61" i="1"/>
  <c r="AJ61" i="1"/>
  <c r="AK61" i="1"/>
  <c r="AL61" i="1"/>
  <c r="AI62" i="1"/>
  <c r="AJ62" i="1"/>
  <c r="AK62" i="1"/>
  <c r="AL62" i="1"/>
  <c r="AI63" i="1"/>
  <c r="AJ63" i="1"/>
  <c r="AK63" i="1"/>
  <c r="AL63" i="1"/>
  <c r="AI64" i="1"/>
  <c r="AJ64" i="1"/>
  <c r="AK64" i="1"/>
  <c r="AL64" i="1"/>
  <c r="AI65" i="1"/>
  <c r="AJ65" i="1"/>
  <c r="AK65" i="1"/>
  <c r="AL65" i="1"/>
  <c r="AI66" i="1"/>
  <c r="AJ66" i="1"/>
  <c r="AK66" i="1"/>
  <c r="AL66" i="1"/>
  <c r="AI67" i="1"/>
  <c r="AJ67" i="1"/>
  <c r="AK67" i="1"/>
  <c r="AL67" i="1"/>
  <c r="AI68" i="1"/>
  <c r="AJ68" i="1"/>
  <c r="AK68" i="1"/>
  <c r="AL68" i="1"/>
  <c r="AI69" i="1"/>
  <c r="AJ69" i="1"/>
  <c r="AK69" i="1"/>
  <c r="AL69" i="1"/>
  <c r="AI70" i="1"/>
  <c r="AJ70" i="1"/>
  <c r="AK70" i="1"/>
  <c r="AL70" i="1"/>
  <c r="AI71" i="1"/>
  <c r="AJ71" i="1"/>
  <c r="AK71" i="1"/>
  <c r="AL71" i="1"/>
  <c r="AI72" i="1"/>
  <c r="AJ72" i="1"/>
  <c r="AK72" i="1"/>
  <c r="AL72" i="1"/>
  <c r="AI73" i="1"/>
  <c r="AJ73" i="1"/>
  <c r="AK73" i="1"/>
  <c r="AL73" i="1"/>
  <c r="AI74" i="1"/>
  <c r="AJ74" i="1"/>
  <c r="AK74" i="1"/>
  <c r="AL74" i="1"/>
  <c r="AI75" i="1"/>
  <c r="AJ75" i="1"/>
  <c r="AK75" i="1"/>
  <c r="AL75" i="1"/>
  <c r="AI76" i="1"/>
  <c r="AJ76" i="1"/>
  <c r="AK76" i="1"/>
  <c r="AL76" i="1"/>
  <c r="AI77" i="1"/>
  <c r="AJ77" i="1"/>
  <c r="AK77" i="1"/>
  <c r="AL77" i="1"/>
  <c r="AI78" i="1"/>
  <c r="AJ78" i="1"/>
  <c r="AK78" i="1"/>
  <c r="AL78" i="1"/>
  <c r="AI79" i="1"/>
  <c r="AJ79" i="1"/>
  <c r="AK79" i="1"/>
  <c r="AL79" i="1"/>
  <c r="AI80" i="1"/>
  <c r="AJ80" i="1"/>
  <c r="AK80" i="1"/>
  <c r="AL80" i="1"/>
  <c r="AI81" i="1"/>
  <c r="AJ81" i="1"/>
  <c r="AK81" i="1"/>
  <c r="AL81" i="1"/>
  <c r="AI82" i="1"/>
  <c r="AJ82" i="1"/>
  <c r="AK82" i="1"/>
  <c r="AL82" i="1"/>
  <c r="AI83" i="1"/>
  <c r="AJ83" i="1"/>
  <c r="AK83" i="1"/>
  <c r="AL83" i="1"/>
  <c r="AI84" i="1"/>
  <c r="AJ84" i="1"/>
  <c r="AK84" i="1"/>
  <c r="AL84" i="1"/>
  <c r="AI85" i="1"/>
  <c r="AJ85" i="1"/>
  <c r="AK85" i="1"/>
  <c r="AL85" i="1"/>
  <c r="AI86" i="1"/>
  <c r="AJ86" i="1"/>
  <c r="AK86" i="1"/>
  <c r="AL86" i="1"/>
  <c r="AI87" i="1"/>
  <c r="AJ87" i="1"/>
  <c r="AK87" i="1"/>
  <c r="AL87" i="1"/>
  <c r="AI88" i="1"/>
  <c r="AJ88" i="1"/>
  <c r="AK88" i="1"/>
  <c r="AL88" i="1"/>
  <c r="AI89" i="1"/>
  <c r="AJ89" i="1"/>
  <c r="AK89" i="1"/>
  <c r="AL89" i="1"/>
  <c r="AI90" i="1"/>
  <c r="AJ90" i="1"/>
  <c r="AK90" i="1"/>
  <c r="AL90" i="1"/>
  <c r="AI91" i="1"/>
  <c r="AJ91" i="1"/>
  <c r="AK91" i="1"/>
  <c r="AL91" i="1"/>
  <c r="AI92" i="1"/>
  <c r="AJ92" i="1"/>
  <c r="AK92" i="1"/>
  <c r="AL92" i="1"/>
  <c r="AI93" i="1"/>
  <c r="AJ93" i="1"/>
  <c r="AK93" i="1"/>
  <c r="AL93" i="1"/>
  <c r="AI94" i="1"/>
  <c r="AJ94" i="1"/>
  <c r="AK94" i="1"/>
  <c r="AL94" i="1"/>
  <c r="AI95" i="1"/>
  <c r="AJ95" i="1"/>
  <c r="AK95" i="1"/>
  <c r="AL95" i="1"/>
  <c r="AI96" i="1"/>
  <c r="AJ96" i="1"/>
  <c r="AK96" i="1"/>
  <c r="AL96" i="1"/>
  <c r="AI97" i="1"/>
  <c r="AJ97" i="1"/>
  <c r="AK97" i="1"/>
  <c r="AL97" i="1"/>
  <c r="AI98" i="1"/>
  <c r="AJ98" i="1"/>
  <c r="AK98" i="1"/>
  <c r="AL98" i="1"/>
  <c r="AI99" i="1"/>
  <c r="AJ99" i="1"/>
  <c r="AK99" i="1"/>
  <c r="AL99" i="1"/>
  <c r="AI100" i="1"/>
  <c r="AJ100" i="1"/>
  <c r="AK100" i="1"/>
  <c r="AL100" i="1"/>
  <c r="AI101" i="1"/>
  <c r="AJ101" i="1"/>
  <c r="AK101" i="1"/>
  <c r="AL101" i="1"/>
  <c r="AI102" i="1"/>
  <c r="AJ102" i="1"/>
  <c r="AK102" i="1"/>
  <c r="AL102" i="1"/>
  <c r="AI103" i="1"/>
  <c r="AJ103" i="1"/>
  <c r="AK103" i="1"/>
  <c r="AL103" i="1"/>
  <c r="AI104" i="1"/>
  <c r="AJ104" i="1"/>
  <c r="AK104" i="1"/>
  <c r="AL104" i="1"/>
  <c r="AI105" i="1"/>
  <c r="AJ105" i="1"/>
  <c r="AK105" i="1"/>
  <c r="AL105" i="1"/>
  <c r="AI106" i="1"/>
  <c r="AJ106" i="1"/>
  <c r="AK106" i="1"/>
  <c r="AL106" i="1"/>
  <c r="AI107" i="1"/>
  <c r="AJ107" i="1"/>
  <c r="AK107" i="1"/>
  <c r="AL107" i="1"/>
  <c r="AI108" i="1"/>
  <c r="AJ108" i="1"/>
  <c r="AK108" i="1"/>
  <c r="AL108" i="1"/>
  <c r="AI109" i="1"/>
  <c r="AJ109" i="1"/>
  <c r="AK109" i="1"/>
  <c r="AL109" i="1"/>
  <c r="AI110" i="1"/>
  <c r="AJ110" i="1"/>
  <c r="AK110" i="1"/>
  <c r="AL110" i="1"/>
  <c r="AI111" i="1"/>
  <c r="AJ111" i="1"/>
  <c r="AK111" i="1"/>
  <c r="AL111" i="1"/>
  <c r="AI112" i="1"/>
  <c r="AJ112" i="1"/>
  <c r="AK112" i="1"/>
  <c r="AL112" i="1"/>
  <c r="AI113" i="1"/>
  <c r="AJ113" i="1"/>
  <c r="AK113" i="1"/>
  <c r="AL113" i="1"/>
  <c r="AI114" i="1"/>
  <c r="AJ114" i="1"/>
  <c r="AK114" i="1"/>
  <c r="AL114" i="1"/>
  <c r="AI115" i="1"/>
  <c r="AJ115" i="1"/>
  <c r="AK115" i="1"/>
  <c r="AL115" i="1"/>
  <c r="AI116" i="1"/>
  <c r="AJ116" i="1"/>
  <c r="AK116" i="1"/>
  <c r="AL116" i="1"/>
  <c r="AI117" i="1"/>
  <c r="AJ117" i="1"/>
  <c r="AK117" i="1"/>
  <c r="AL117" i="1"/>
  <c r="AI118" i="1"/>
  <c r="AJ118" i="1"/>
  <c r="AK118" i="1"/>
  <c r="AL118" i="1"/>
  <c r="AI119" i="1"/>
  <c r="AJ119" i="1"/>
  <c r="AK119" i="1"/>
  <c r="AL119" i="1"/>
  <c r="AI120" i="1"/>
  <c r="AJ120" i="1"/>
  <c r="AK120" i="1"/>
  <c r="AL120" i="1"/>
  <c r="AI121" i="1"/>
  <c r="AJ121" i="1"/>
  <c r="AK121" i="1"/>
  <c r="AL121" i="1"/>
  <c r="AI122" i="1"/>
  <c r="AJ122" i="1"/>
  <c r="AK122" i="1"/>
  <c r="AL122" i="1"/>
  <c r="AI123" i="1"/>
  <c r="AJ123" i="1"/>
  <c r="AK123" i="1"/>
  <c r="AL123" i="1"/>
  <c r="AI124" i="1"/>
  <c r="AJ124" i="1"/>
  <c r="AK124" i="1"/>
  <c r="AL124" i="1"/>
  <c r="AI125" i="1"/>
  <c r="AJ125" i="1"/>
  <c r="AK125" i="1"/>
  <c r="AL125" i="1"/>
  <c r="AI126" i="1"/>
  <c r="AJ126" i="1"/>
  <c r="AK126" i="1"/>
  <c r="AL126" i="1"/>
  <c r="AI127" i="1"/>
  <c r="AJ127" i="1"/>
  <c r="AK127" i="1"/>
  <c r="AL127" i="1"/>
  <c r="AI128" i="1"/>
  <c r="AJ128" i="1"/>
  <c r="AK128" i="1"/>
  <c r="AL128" i="1"/>
  <c r="AI129" i="1"/>
  <c r="AJ129" i="1"/>
  <c r="AK129" i="1"/>
  <c r="AL129" i="1"/>
  <c r="AI130" i="1"/>
  <c r="AJ130" i="1"/>
  <c r="AK130" i="1"/>
  <c r="AL130" i="1"/>
  <c r="AI131" i="1"/>
  <c r="AJ131" i="1"/>
  <c r="AK131" i="1"/>
  <c r="AL131" i="1"/>
  <c r="AI132" i="1"/>
  <c r="AJ132" i="1"/>
  <c r="AK132" i="1"/>
  <c r="AL132" i="1"/>
  <c r="AI133" i="1"/>
  <c r="AJ133" i="1"/>
  <c r="AK133" i="1"/>
  <c r="AL133" i="1"/>
  <c r="AI134" i="1"/>
  <c r="AJ134" i="1"/>
  <c r="AK134" i="1"/>
  <c r="AL134" i="1"/>
  <c r="AI135" i="1"/>
  <c r="AJ135" i="1"/>
  <c r="AK135" i="1"/>
  <c r="AL135" i="1"/>
  <c r="AI136" i="1"/>
  <c r="AJ136" i="1"/>
  <c r="AK136" i="1"/>
  <c r="AL136" i="1"/>
  <c r="AI137" i="1"/>
  <c r="AJ137" i="1"/>
  <c r="AK137" i="1"/>
  <c r="AL137" i="1"/>
  <c r="AI138" i="1"/>
  <c r="AJ138" i="1"/>
  <c r="AK138" i="1"/>
  <c r="AL138" i="1"/>
  <c r="AI139" i="1"/>
  <c r="AJ139" i="1"/>
  <c r="AK139" i="1"/>
  <c r="AL139" i="1"/>
  <c r="AI140" i="1"/>
  <c r="AJ140" i="1"/>
  <c r="AK140" i="1"/>
  <c r="AL140" i="1"/>
  <c r="AI141" i="1"/>
  <c r="AJ141" i="1"/>
  <c r="AK141" i="1"/>
  <c r="AL141" i="1"/>
  <c r="AI142" i="1"/>
  <c r="AJ142" i="1"/>
  <c r="AK142" i="1"/>
  <c r="AL142" i="1"/>
  <c r="AI143" i="1"/>
  <c r="AJ143" i="1"/>
  <c r="AK143" i="1"/>
  <c r="AL143" i="1"/>
  <c r="AI144" i="1"/>
  <c r="AJ144" i="1"/>
  <c r="AK144" i="1"/>
  <c r="AL144" i="1"/>
  <c r="AI145" i="1"/>
  <c r="AJ145" i="1"/>
  <c r="AK145" i="1"/>
  <c r="AL145" i="1"/>
  <c r="AI146" i="1"/>
  <c r="AJ146" i="1"/>
  <c r="AK146" i="1"/>
  <c r="AL146" i="1"/>
  <c r="AI147" i="1"/>
  <c r="AJ147" i="1"/>
  <c r="AK147" i="1"/>
  <c r="AL147" i="1"/>
  <c r="AI148" i="1"/>
  <c r="AJ148" i="1"/>
  <c r="AK148" i="1"/>
  <c r="AL148" i="1"/>
  <c r="AI149" i="1"/>
  <c r="AJ149" i="1"/>
  <c r="AK149" i="1"/>
  <c r="AL149" i="1"/>
  <c r="AI150" i="1"/>
  <c r="AJ150" i="1"/>
  <c r="AK150" i="1"/>
  <c r="AL150" i="1"/>
  <c r="AI151" i="1"/>
  <c r="AJ151" i="1"/>
  <c r="AK151" i="1"/>
  <c r="AL151" i="1"/>
  <c r="AI152" i="1"/>
  <c r="AJ152" i="1"/>
  <c r="AK152" i="1"/>
  <c r="AL152" i="1"/>
  <c r="AI153" i="1"/>
  <c r="AJ153" i="1"/>
  <c r="AK153" i="1"/>
  <c r="AL153" i="1"/>
  <c r="AI154" i="1"/>
  <c r="AJ154" i="1"/>
  <c r="AK154" i="1"/>
  <c r="AL154" i="1"/>
  <c r="AI155" i="1"/>
  <c r="AJ155" i="1"/>
  <c r="AK155" i="1"/>
  <c r="AL155" i="1"/>
  <c r="AI156" i="1"/>
  <c r="AJ156" i="1"/>
  <c r="AK156" i="1"/>
  <c r="AL156" i="1"/>
  <c r="AI157" i="1"/>
  <c r="AJ157" i="1"/>
  <c r="AK157" i="1"/>
  <c r="AL157" i="1"/>
  <c r="AI158" i="1"/>
  <c r="AJ158" i="1"/>
  <c r="AK158" i="1"/>
  <c r="AL158" i="1"/>
  <c r="AI159" i="1"/>
  <c r="AJ159" i="1"/>
  <c r="AK159" i="1"/>
  <c r="AL159" i="1"/>
  <c r="AI160" i="1"/>
  <c r="AJ160" i="1"/>
  <c r="AK160" i="1"/>
  <c r="AL160" i="1"/>
  <c r="AI161" i="1"/>
  <c r="AJ161" i="1"/>
  <c r="AK161" i="1"/>
  <c r="AL161" i="1"/>
  <c r="AI162" i="1"/>
  <c r="AJ162" i="1"/>
  <c r="AK162" i="1"/>
  <c r="AL162" i="1"/>
  <c r="AI163" i="1"/>
  <c r="AJ163" i="1"/>
  <c r="AK163" i="1"/>
  <c r="AL163" i="1"/>
  <c r="AI164" i="1"/>
  <c r="AJ164" i="1"/>
  <c r="AK164" i="1"/>
  <c r="AL164" i="1"/>
  <c r="AI165" i="1"/>
  <c r="AJ165" i="1"/>
  <c r="AK165" i="1"/>
  <c r="AL165" i="1"/>
  <c r="AI166" i="1"/>
  <c r="AJ166" i="1"/>
  <c r="AK166" i="1"/>
  <c r="AL166" i="1"/>
  <c r="AI167" i="1"/>
  <c r="AJ167" i="1"/>
  <c r="AK167" i="1"/>
  <c r="AL167" i="1"/>
  <c r="AI168" i="1"/>
  <c r="AJ168" i="1"/>
  <c r="AK168" i="1"/>
  <c r="AL168" i="1"/>
  <c r="AI169" i="1"/>
  <c r="AJ169" i="1"/>
  <c r="AK169" i="1"/>
  <c r="AL169" i="1"/>
  <c r="AI170" i="1"/>
  <c r="AJ170" i="1"/>
  <c r="AK170" i="1"/>
  <c r="AL170" i="1"/>
  <c r="AI171" i="1"/>
  <c r="AJ171" i="1"/>
  <c r="AK171" i="1"/>
  <c r="AL171" i="1"/>
  <c r="AI172" i="1"/>
  <c r="AJ172" i="1"/>
  <c r="AK172" i="1"/>
  <c r="AL172" i="1"/>
  <c r="AI173" i="1"/>
  <c r="AJ173" i="1"/>
  <c r="AK173" i="1"/>
  <c r="AL173" i="1"/>
  <c r="AI174" i="1"/>
  <c r="AJ174" i="1"/>
  <c r="AK174" i="1"/>
  <c r="AL174" i="1"/>
  <c r="AI175" i="1"/>
  <c r="AJ175" i="1"/>
  <c r="AK175" i="1"/>
  <c r="AL175" i="1"/>
  <c r="AI176" i="1"/>
  <c r="AJ176" i="1"/>
  <c r="AK176" i="1"/>
  <c r="AL176" i="1"/>
  <c r="AI177" i="1"/>
  <c r="AJ177" i="1"/>
  <c r="AK177" i="1"/>
  <c r="AL177" i="1"/>
  <c r="AI178" i="1"/>
  <c r="AJ178" i="1"/>
  <c r="AK178" i="1"/>
  <c r="AL178" i="1"/>
  <c r="AI179" i="1"/>
  <c r="AJ179" i="1"/>
  <c r="AK179" i="1"/>
  <c r="AL179" i="1"/>
  <c r="AI180" i="1"/>
  <c r="AJ180" i="1"/>
  <c r="AK180" i="1"/>
  <c r="AL180" i="1"/>
  <c r="AI181" i="1"/>
  <c r="AJ181" i="1"/>
  <c r="AK181" i="1"/>
  <c r="AL181" i="1"/>
  <c r="AI182" i="1"/>
  <c r="AJ182" i="1"/>
  <c r="AK182" i="1"/>
  <c r="AL182" i="1"/>
  <c r="AI183" i="1"/>
  <c r="AJ183" i="1"/>
  <c r="AK183" i="1"/>
  <c r="AL183" i="1"/>
  <c r="AI184" i="1"/>
  <c r="AJ184" i="1"/>
  <c r="AK184" i="1"/>
  <c r="AL184" i="1"/>
  <c r="AI185" i="1"/>
  <c r="AJ185" i="1"/>
  <c r="AK185" i="1"/>
  <c r="AL185" i="1"/>
  <c r="AI186" i="1"/>
  <c r="AJ186" i="1"/>
  <c r="AK186" i="1"/>
  <c r="AL186" i="1"/>
  <c r="AI187" i="1"/>
  <c r="AJ187" i="1"/>
  <c r="AK187" i="1"/>
  <c r="AL187" i="1"/>
  <c r="AI188" i="1"/>
  <c r="AJ188" i="1"/>
  <c r="AK188" i="1"/>
  <c r="AL188" i="1"/>
  <c r="AI189" i="1"/>
  <c r="AJ189" i="1"/>
  <c r="AK189" i="1"/>
  <c r="AL189" i="1"/>
  <c r="AI190" i="1"/>
  <c r="AJ190" i="1"/>
  <c r="AK190" i="1"/>
  <c r="AL190" i="1"/>
  <c r="AI191" i="1"/>
  <c r="AJ191" i="1"/>
  <c r="AK191" i="1"/>
  <c r="AL191" i="1"/>
  <c r="AI192" i="1"/>
  <c r="AJ192" i="1"/>
  <c r="AK192" i="1"/>
  <c r="AL192" i="1"/>
  <c r="AI193" i="1"/>
  <c r="AJ193" i="1"/>
  <c r="AK193" i="1"/>
  <c r="AL193" i="1"/>
  <c r="AI194" i="1"/>
  <c r="AJ194" i="1"/>
  <c r="AK194" i="1"/>
  <c r="AL194" i="1"/>
  <c r="AI195" i="1"/>
  <c r="AJ195" i="1"/>
  <c r="AK195" i="1"/>
  <c r="AL195" i="1"/>
  <c r="AI196" i="1"/>
  <c r="AJ196" i="1"/>
  <c r="AK196" i="1"/>
  <c r="AL196" i="1"/>
  <c r="AI197" i="1"/>
  <c r="AJ197" i="1"/>
  <c r="AK197" i="1"/>
  <c r="AL197" i="1"/>
  <c r="AI198" i="1"/>
  <c r="AJ198" i="1"/>
  <c r="AK198" i="1"/>
  <c r="AL198" i="1"/>
  <c r="AI199" i="1"/>
  <c r="AJ199" i="1"/>
  <c r="AK199" i="1"/>
  <c r="AL199" i="1"/>
  <c r="AI200" i="1"/>
  <c r="AJ200" i="1"/>
  <c r="AK200" i="1"/>
  <c r="AL200" i="1"/>
  <c r="AI201" i="1"/>
  <c r="AJ201" i="1"/>
  <c r="AK201" i="1"/>
  <c r="AL201" i="1"/>
  <c r="AI202" i="1"/>
  <c r="AJ202" i="1"/>
  <c r="AK202" i="1"/>
  <c r="AL202" i="1"/>
  <c r="AI203" i="1"/>
  <c r="AJ203" i="1"/>
  <c r="AK203" i="1"/>
  <c r="AL203" i="1"/>
  <c r="AI204" i="1"/>
  <c r="AJ204" i="1"/>
  <c r="AK204" i="1"/>
  <c r="AL204" i="1"/>
  <c r="AI205" i="1"/>
  <c r="AJ205" i="1"/>
  <c r="AK205" i="1"/>
  <c r="AL205" i="1"/>
  <c r="AI206" i="1"/>
  <c r="AJ206" i="1"/>
  <c r="AK206" i="1"/>
  <c r="AL206" i="1"/>
  <c r="AI207" i="1"/>
  <c r="AJ207" i="1"/>
  <c r="AK207" i="1"/>
  <c r="AL207" i="1"/>
  <c r="AI208" i="1"/>
  <c r="AJ208" i="1"/>
  <c r="AK208" i="1"/>
  <c r="AL208" i="1"/>
  <c r="AI209" i="1"/>
  <c r="AJ209" i="1"/>
  <c r="AK209" i="1"/>
  <c r="AL209" i="1"/>
  <c r="AI210" i="1"/>
  <c r="AJ210" i="1"/>
  <c r="AK210" i="1"/>
  <c r="AL210" i="1"/>
  <c r="AI211" i="1"/>
  <c r="AJ211" i="1"/>
  <c r="AK211" i="1"/>
  <c r="AL211" i="1"/>
  <c r="AI212" i="1"/>
  <c r="AJ212" i="1"/>
  <c r="AK212" i="1"/>
  <c r="AL212" i="1"/>
  <c r="AI213" i="1"/>
  <c r="AJ213" i="1"/>
  <c r="AK213" i="1"/>
  <c r="AL213" i="1"/>
  <c r="AI214" i="1"/>
  <c r="AJ214" i="1"/>
  <c r="AK214" i="1"/>
  <c r="AL214" i="1"/>
  <c r="AI215" i="1"/>
  <c r="AJ215" i="1"/>
  <c r="AK215" i="1"/>
  <c r="AL215" i="1"/>
  <c r="AI216" i="1"/>
  <c r="AJ216" i="1"/>
  <c r="AK216" i="1"/>
  <c r="AL216" i="1"/>
  <c r="AI217" i="1"/>
  <c r="AJ217" i="1"/>
  <c r="AK217" i="1"/>
  <c r="AL217" i="1"/>
  <c r="AI218" i="1"/>
  <c r="AJ218" i="1"/>
  <c r="AK218" i="1"/>
  <c r="AL218" i="1"/>
  <c r="AI219" i="1"/>
  <c r="AJ219" i="1"/>
  <c r="AK219" i="1"/>
  <c r="AL219" i="1"/>
  <c r="AI220" i="1"/>
  <c r="AJ220" i="1"/>
  <c r="AK220" i="1"/>
  <c r="AL220" i="1"/>
  <c r="AI221" i="1"/>
  <c r="AJ221" i="1"/>
  <c r="AK221" i="1"/>
  <c r="AL221" i="1"/>
  <c r="AI222" i="1"/>
  <c r="AJ222" i="1"/>
  <c r="AK222" i="1"/>
  <c r="AL222" i="1"/>
  <c r="AI223" i="1"/>
  <c r="AJ223" i="1"/>
  <c r="AK223" i="1"/>
  <c r="AL223" i="1"/>
  <c r="AI224" i="1"/>
  <c r="AJ224" i="1"/>
  <c r="AK224" i="1"/>
  <c r="AL224" i="1"/>
  <c r="AI225" i="1"/>
  <c r="AJ225" i="1"/>
  <c r="AK225" i="1"/>
  <c r="AL225" i="1"/>
  <c r="AI226" i="1"/>
  <c r="AJ226" i="1"/>
  <c r="AK226" i="1"/>
  <c r="AL226" i="1"/>
  <c r="AI227" i="1"/>
  <c r="AJ227" i="1"/>
  <c r="AK227" i="1"/>
  <c r="AL227" i="1"/>
  <c r="AI228" i="1"/>
  <c r="AJ228" i="1"/>
  <c r="AK228" i="1"/>
  <c r="AL228" i="1"/>
  <c r="AI229" i="1"/>
  <c r="AJ229" i="1"/>
  <c r="AK229" i="1"/>
  <c r="AL229" i="1"/>
  <c r="AI230" i="1"/>
  <c r="AJ230" i="1"/>
  <c r="AK230" i="1"/>
  <c r="AL230" i="1"/>
  <c r="AI231" i="1"/>
  <c r="AJ231" i="1"/>
  <c r="AK231" i="1"/>
  <c r="AL231" i="1"/>
  <c r="AI232" i="1"/>
  <c r="AJ232" i="1"/>
  <c r="AK232" i="1"/>
  <c r="AL232" i="1"/>
  <c r="AI233" i="1"/>
  <c r="AJ233" i="1"/>
  <c r="AK233" i="1"/>
  <c r="AL233" i="1"/>
  <c r="AI234" i="1"/>
  <c r="AJ234" i="1"/>
  <c r="AK234" i="1"/>
  <c r="AL234" i="1"/>
  <c r="AI235" i="1"/>
  <c r="AJ235" i="1"/>
  <c r="AK235" i="1"/>
  <c r="AL235" i="1"/>
  <c r="AI236" i="1"/>
  <c r="AJ236" i="1"/>
  <c r="AK236" i="1"/>
  <c r="AL236" i="1"/>
  <c r="AI237" i="1"/>
  <c r="AJ237" i="1"/>
  <c r="AK237" i="1"/>
  <c r="AL237" i="1"/>
  <c r="AI238" i="1"/>
  <c r="AJ238" i="1"/>
  <c r="AK238" i="1"/>
  <c r="AL238" i="1"/>
  <c r="AI239" i="1"/>
  <c r="AJ239" i="1"/>
  <c r="AK239" i="1"/>
  <c r="AL239" i="1"/>
  <c r="AI240" i="1"/>
  <c r="AJ240" i="1"/>
  <c r="AK240" i="1"/>
  <c r="AL240" i="1"/>
  <c r="AI241" i="1"/>
  <c r="AJ241" i="1"/>
  <c r="AK241" i="1"/>
  <c r="AL241" i="1"/>
  <c r="AI242" i="1"/>
  <c r="AJ242" i="1"/>
  <c r="AK242" i="1"/>
  <c r="AL242" i="1"/>
  <c r="AI243" i="1"/>
  <c r="AJ243" i="1"/>
  <c r="AK243" i="1"/>
  <c r="AL243" i="1"/>
  <c r="AI244" i="1"/>
  <c r="AJ244" i="1"/>
  <c r="AK244" i="1"/>
  <c r="AL244" i="1"/>
  <c r="AI245" i="1"/>
  <c r="AJ245" i="1"/>
  <c r="AK245" i="1"/>
  <c r="AL245" i="1"/>
  <c r="AI246" i="1"/>
  <c r="AJ246" i="1"/>
  <c r="AK246" i="1"/>
  <c r="AL246" i="1"/>
  <c r="AI247" i="1"/>
  <c r="AJ247" i="1"/>
  <c r="AK247" i="1"/>
  <c r="AL247" i="1"/>
  <c r="AI248" i="1"/>
  <c r="AJ248" i="1"/>
  <c r="AK248" i="1"/>
  <c r="AL248" i="1"/>
  <c r="AI249" i="1"/>
  <c r="AJ249" i="1"/>
  <c r="AK249" i="1"/>
  <c r="AL249" i="1"/>
  <c r="AI250" i="1"/>
  <c r="AJ250" i="1"/>
  <c r="AK250" i="1"/>
  <c r="AL250" i="1"/>
  <c r="AI251" i="1"/>
  <c r="AJ251" i="1"/>
  <c r="AK251" i="1"/>
  <c r="AL251" i="1"/>
  <c r="AI252" i="1"/>
  <c r="AJ252" i="1"/>
  <c r="AK252" i="1"/>
  <c r="AL252" i="1"/>
  <c r="AI253" i="1"/>
  <c r="AJ253" i="1"/>
  <c r="AK253" i="1"/>
  <c r="AL253" i="1"/>
  <c r="AI254" i="1"/>
  <c r="AJ254" i="1"/>
  <c r="AK254" i="1"/>
  <c r="AL254" i="1"/>
  <c r="AI255" i="1"/>
  <c r="AJ255" i="1"/>
  <c r="AK255" i="1"/>
  <c r="AL255" i="1"/>
  <c r="AI256" i="1"/>
  <c r="AJ256" i="1"/>
  <c r="AK256" i="1"/>
  <c r="AL256" i="1"/>
  <c r="AI257" i="1"/>
  <c r="AJ257" i="1"/>
  <c r="AK257" i="1"/>
  <c r="AL257" i="1"/>
  <c r="AI258" i="1"/>
  <c r="AJ258" i="1"/>
  <c r="AK258" i="1"/>
  <c r="AL258" i="1"/>
  <c r="AI259" i="1"/>
  <c r="AJ259" i="1"/>
  <c r="AK259" i="1"/>
  <c r="AL259" i="1"/>
  <c r="AI260" i="1"/>
  <c r="AJ260" i="1"/>
  <c r="AK260" i="1"/>
  <c r="AL260" i="1"/>
  <c r="AI261" i="1"/>
  <c r="AJ261" i="1"/>
  <c r="AK261" i="1"/>
  <c r="AL261" i="1"/>
  <c r="AI262" i="1"/>
  <c r="AJ262" i="1"/>
  <c r="AK262" i="1"/>
  <c r="AL262" i="1"/>
  <c r="AI263" i="1"/>
  <c r="AJ263" i="1"/>
  <c r="AK263" i="1"/>
  <c r="AL263" i="1"/>
  <c r="AI264" i="1"/>
  <c r="AJ264" i="1"/>
  <c r="AK264" i="1"/>
  <c r="AL264" i="1"/>
  <c r="AI265" i="1"/>
  <c r="AJ265" i="1"/>
  <c r="AK265" i="1"/>
  <c r="AL265" i="1"/>
  <c r="AI266" i="1"/>
  <c r="AJ266" i="1"/>
  <c r="AK266" i="1"/>
  <c r="AL266" i="1"/>
  <c r="AI267" i="1"/>
  <c r="AJ267" i="1"/>
  <c r="AK267" i="1"/>
  <c r="AL267" i="1"/>
  <c r="AI268" i="1"/>
  <c r="AJ268" i="1"/>
  <c r="AK268" i="1"/>
  <c r="AL268" i="1"/>
  <c r="AI269" i="1"/>
  <c r="AJ269" i="1"/>
  <c r="AK269" i="1"/>
  <c r="AL269" i="1"/>
  <c r="AI270" i="1"/>
  <c r="AJ270" i="1"/>
  <c r="AK270" i="1"/>
  <c r="AL270" i="1"/>
  <c r="AI271" i="1"/>
  <c r="AJ271" i="1"/>
  <c r="AK271" i="1"/>
  <c r="AL271" i="1"/>
  <c r="AI272" i="1"/>
  <c r="AJ272" i="1"/>
  <c r="AK272" i="1"/>
  <c r="AL272" i="1"/>
  <c r="Y243" i="1"/>
  <c r="AL3" i="1"/>
  <c r="X96" i="1"/>
  <c r="X104" i="1"/>
  <c r="X112" i="1"/>
  <c r="X120" i="1"/>
  <c r="X128" i="1"/>
  <c r="X136" i="1"/>
  <c r="X144" i="1"/>
  <c r="X152" i="1"/>
  <c r="X160" i="1"/>
  <c r="X168" i="1"/>
  <c r="X176" i="1"/>
  <c r="X184" i="1"/>
  <c r="X192" i="1"/>
  <c r="X200" i="1"/>
  <c r="X208" i="1"/>
  <c r="X216" i="1"/>
  <c r="X217" i="1"/>
  <c r="X224" i="1"/>
  <c r="X232" i="1"/>
  <c r="X233" i="1"/>
  <c r="X240" i="1"/>
  <c r="X241" i="1"/>
  <c r="X245" i="1"/>
  <c r="X248" i="1"/>
  <c r="X249" i="1"/>
  <c r="X253" i="1"/>
  <c r="X256" i="1"/>
  <c r="X257" i="1"/>
  <c r="X261" i="1"/>
  <c r="X264" i="1"/>
  <c r="X268" i="1"/>
  <c r="X269" i="1"/>
  <c r="X272" i="1"/>
  <c r="AJ3" i="1"/>
  <c r="AI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4" i="1"/>
  <c r="Y245" i="1"/>
  <c r="Y246" i="1"/>
  <c r="Y247" i="1"/>
  <c r="Y248" i="1"/>
  <c r="Y249" i="1"/>
  <c r="Y250" i="1"/>
  <c r="Y252" i="1"/>
  <c r="Y253" i="1"/>
  <c r="Y254" i="1"/>
  <c r="Y255" i="1"/>
  <c r="Y256" i="1"/>
  <c r="Y257" i="1"/>
  <c r="Y258" i="1"/>
  <c r="Y260" i="1"/>
  <c r="Y261" i="1"/>
  <c r="Y262" i="1"/>
  <c r="Y263" i="1"/>
  <c r="Y264" i="1"/>
  <c r="Y265" i="1"/>
  <c r="Y266" i="1"/>
  <c r="Y268" i="1"/>
  <c r="Y269" i="1"/>
  <c r="Y270" i="1"/>
  <c r="Y271" i="1"/>
  <c r="Y272" i="1"/>
  <c r="X4" i="1"/>
  <c r="X5" i="1"/>
  <c r="X6" i="1"/>
  <c r="X7" i="1"/>
  <c r="X8" i="1"/>
  <c r="X9" i="1"/>
  <c r="X10" i="1"/>
  <c r="X13" i="1"/>
  <c r="X15" i="1"/>
  <c r="X16" i="1"/>
  <c r="X27" i="1"/>
  <c r="X29" i="1"/>
  <c r="X32" i="1"/>
  <c r="X33" i="1"/>
  <c r="X34" i="1"/>
  <c r="X35" i="1"/>
  <c r="X36" i="1"/>
  <c r="X37" i="1"/>
  <c r="X38" i="1"/>
  <c r="X39" i="1"/>
  <c r="X40" i="1"/>
  <c r="X41" i="1"/>
  <c r="X44" i="1"/>
  <c r="X45" i="1"/>
  <c r="X46" i="1"/>
  <c r="X47" i="1"/>
  <c r="X48" i="1"/>
  <c r="X50" i="1"/>
  <c r="X51" i="1"/>
  <c r="X52" i="1"/>
  <c r="X53" i="1"/>
  <c r="X54" i="1"/>
  <c r="X55" i="1"/>
  <c r="X56" i="1"/>
  <c r="X58" i="1"/>
  <c r="X59" i="1"/>
  <c r="X60" i="1"/>
  <c r="X61" i="1"/>
  <c r="X62" i="1"/>
  <c r="X63" i="1"/>
  <c r="X64" i="1"/>
  <c r="X66" i="1"/>
  <c r="X67" i="1"/>
  <c r="X68" i="1"/>
  <c r="X69" i="1"/>
  <c r="X70" i="1"/>
  <c r="X71" i="1"/>
  <c r="X72" i="1"/>
  <c r="X74" i="1"/>
  <c r="X75" i="1"/>
  <c r="X76" i="1"/>
  <c r="X77" i="1"/>
  <c r="X78" i="1"/>
  <c r="X79" i="1"/>
  <c r="X80" i="1"/>
  <c r="X82" i="1"/>
  <c r="X83" i="1"/>
  <c r="X84" i="1"/>
  <c r="X85" i="1"/>
  <c r="X86" i="1"/>
  <c r="X87" i="1"/>
  <c r="X88" i="1"/>
  <c r="X90" i="1"/>
  <c r="X91" i="1"/>
  <c r="X92" i="1"/>
  <c r="X93" i="1"/>
  <c r="X94" i="1"/>
  <c r="X95" i="1"/>
  <c r="X98" i="1"/>
  <c r="X99" i="1"/>
  <c r="X100" i="1"/>
  <c r="X101" i="1"/>
  <c r="X102" i="1"/>
  <c r="X103" i="1"/>
  <c r="X106" i="1"/>
  <c r="X107" i="1"/>
  <c r="X108" i="1"/>
  <c r="X109" i="1"/>
  <c r="X110" i="1"/>
  <c r="X111" i="1"/>
  <c r="X114" i="1"/>
  <c r="X115" i="1"/>
  <c r="X116" i="1"/>
  <c r="X117" i="1"/>
  <c r="X118" i="1"/>
  <c r="X119" i="1"/>
  <c r="X122" i="1"/>
  <c r="X123" i="1"/>
  <c r="X124" i="1"/>
  <c r="X125" i="1"/>
  <c r="X126" i="1"/>
  <c r="X127" i="1"/>
  <c r="X130" i="1"/>
  <c r="X131" i="1"/>
  <c r="X132" i="1"/>
  <c r="X133" i="1"/>
  <c r="X134" i="1"/>
  <c r="X135" i="1"/>
  <c r="X138" i="1"/>
  <c r="X139" i="1"/>
  <c r="X140" i="1"/>
  <c r="X141" i="1"/>
  <c r="X142" i="1"/>
  <c r="X143" i="1"/>
  <c r="X146" i="1"/>
  <c r="X147" i="1"/>
  <c r="X148" i="1"/>
  <c r="X149" i="1"/>
  <c r="X150" i="1"/>
  <c r="X151" i="1"/>
  <c r="X154" i="1"/>
  <c r="X155" i="1"/>
  <c r="X156" i="1"/>
  <c r="X157" i="1"/>
  <c r="X158" i="1"/>
  <c r="X159" i="1"/>
  <c r="X162" i="1"/>
  <c r="X163" i="1"/>
  <c r="X164" i="1"/>
  <c r="X165" i="1"/>
  <c r="X166" i="1"/>
  <c r="X167" i="1"/>
  <c r="X170" i="1"/>
  <c r="X171" i="1"/>
  <c r="X172" i="1"/>
  <c r="X173" i="1"/>
  <c r="X174" i="1"/>
  <c r="X175" i="1"/>
  <c r="X178" i="1"/>
  <c r="X179" i="1"/>
  <c r="X180" i="1"/>
  <c r="X181" i="1"/>
  <c r="X182" i="1"/>
  <c r="X183" i="1"/>
  <c r="X186" i="1"/>
  <c r="X187" i="1"/>
  <c r="X188" i="1"/>
  <c r="X189" i="1"/>
  <c r="X190" i="1"/>
  <c r="X191" i="1"/>
  <c r="X194" i="1"/>
  <c r="X195" i="1"/>
  <c r="X196" i="1"/>
  <c r="X197" i="1"/>
  <c r="X198" i="1"/>
  <c r="X199" i="1"/>
  <c r="X202" i="1"/>
  <c r="X203" i="1"/>
  <c r="X204" i="1"/>
  <c r="X205" i="1"/>
  <c r="X206" i="1"/>
  <c r="X207" i="1"/>
  <c r="X210" i="1"/>
  <c r="X211" i="1"/>
  <c r="X212" i="1"/>
  <c r="X213" i="1"/>
  <c r="X214" i="1"/>
  <c r="X215" i="1"/>
  <c r="X218" i="1"/>
  <c r="X219" i="1"/>
  <c r="X220" i="1"/>
  <c r="X221" i="1"/>
  <c r="X222" i="1"/>
  <c r="X223" i="1"/>
  <c r="X226" i="1"/>
  <c r="X227" i="1"/>
  <c r="X228" i="1"/>
  <c r="X229" i="1"/>
  <c r="X230" i="1"/>
  <c r="X231" i="1"/>
  <c r="X234" i="1"/>
  <c r="X235" i="1"/>
  <c r="X236" i="1"/>
  <c r="X237" i="1"/>
  <c r="X238" i="1"/>
  <c r="X239" i="1"/>
  <c r="X242" i="1"/>
  <c r="X243" i="1"/>
  <c r="X244" i="1"/>
  <c r="X246" i="1"/>
  <c r="X247" i="1"/>
  <c r="X250" i="1"/>
  <c r="X251" i="1"/>
  <c r="X252" i="1"/>
  <c r="X254" i="1"/>
  <c r="X255" i="1"/>
  <c r="X258" i="1"/>
  <c r="X259" i="1"/>
  <c r="X260" i="1"/>
  <c r="X262" i="1"/>
  <c r="X263" i="1"/>
  <c r="X266" i="1"/>
  <c r="X267" i="1"/>
  <c r="X270" i="1"/>
  <c r="X27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DE201" i="1" l="1"/>
  <c r="DK56" i="1"/>
  <c r="CV116" i="1"/>
  <c r="CV260" i="1"/>
  <c r="DE58" i="1"/>
  <c r="DH106" i="1"/>
  <c r="CV263" i="1"/>
  <c r="DB31" i="1"/>
  <c r="DB155" i="1"/>
  <c r="DK247" i="1"/>
  <c r="DB110" i="1"/>
  <c r="CV51" i="1"/>
  <c r="DB197" i="1"/>
  <c r="DE269" i="1"/>
  <c r="CV124" i="1"/>
  <c r="DK154" i="1"/>
  <c r="DE210" i="1"/>
  <c r="DE222" i="1"/>
  <c r="CV271" i="1"/>
  <c r="DB11" i="1"/>
  <c r="CV195" i="1"/>
  <c r="DK8" i="1"/>
  <c r="DE13" i="1"/>
  <c r="DH57" i="1"/>
  <c r="DB77" i="1"/>
  <c r="DB133" i="1"/>
  <c r="DE193" i="1"/>
  <c r="DB224" i="1"/>
  <c r="DH272" i="1"/>
  <c r="DE182" i="1"/>
  <c r="DH143" i="1"/>
  <c r="DE205" i="1"/>
  <c r="CV199" i="1"/>
  <c r="DE91" i="1"/>
  <c r="DE259" i="1"/>
  <c r="DE109" i="1"/>
  <c r="DB10" i="1"/>
  <c r="DK192" i="1"/>
  <c r="CV254" i="1"/>
  <c r="CV240" i="1"/>
  <c r="CV270" i="1"/>
  <c r="CV131" i="1"/>
  <c r="DE256" i="1"/>
  <c r="CV231" i="1"/>
  <c r="DB19" i="1"/>
  <c r="DE9" i="1"/>
  <c r="DH102" i="1"/>
  <c r="DH42" i="1"/>
  <c r="DK179" i="1"/>
  <c r="DE151" i="1"/>
  <c r="CV27" i="1"/>
  <c r="DE129" i="1"/>
  <c r="DE185" i="1"/>
  <c r="DK49" i="1"/>
  <c r="CV163" i="1"/>
  <c r="DE141" i="1"/>
  <c r="DE26" i="1"/>
  <c r="DK230" i="1"/>
  <c r="DB272" i="1"/>
  <c r="DH138" i="1"/>
  <c r="CV78" i="1"/>
  <c r="DE173" i="1"/>
  <c r="DE20" i="1"/>
  <c r="DK17" i="1"/>
  <c r="DE97" i="1"/>
  <c r="CV44" i="1"/>
  <c r="DK33" i="1"/>
  <c r="CV68" i="1"/>
  <c r="DE142" i="1"/>
  <c r="DH250" i="1"/>
  <c r="DK259" i="1"/>
  <c r="CV87" i="1"/>
  <c r="DB139" i="1"/>
  <c r="DB231" i="1"/>
  <c r="DE225" i="1"/>
  <c r="DB74" i="1"/>
  <c r="CV223" i="1"/>
  <c r="DE45" i="1"/>
  <c r="DH134" i="1"/>
  <c r="DB6" i="1"/>
  <c r="DB245" i="1"/>
  <c r="DK130" i="1"/>
  <c r="DB87" i="1"/>
  <c r="DH215" i="1"/>
  <c r="CV79" i="1"/>
  <c r="DE139" i="1"/>
  <c r="DE69" i="1"/>
  <c r="DH113" i="1"/>
  <c r="DK173" i="1"/>
  <c r="DE19" i="1"/>
  <c r="DH180" i="1"/>
  <c r="DK37" i="1"/>
  <c r="DK117" i="1"/>
  <c r="DH154" i="1"/>
  <c r="DK166" i="1"/>
  <c r="DB261" i="1"/>
  <c r="DH6" i="1"/>
  <c r="DK18" i="1"/>
  <c r="DH98" i="1"/>
  <c r="DB13" i="1"/>
  <c r="DE73" i="1"/>
  <c r="DK97" i="1"/>
  <c r="DK189" i="1"/>
  <c r="DK22" i="1"/>
  <c r="DB84" i="1"/>
  <c r="DE245" i="1"/>
  <c r="DE78" i="1"/>
  <c r="DK102" i="1"/>
  <c r="DK238" i="1"/>
  <c r="DH10" i="1"/>
  <c r="DH25" i="1"/>
  <c r="DK125" i="1"/>
  <c r="DB30" i="1"/>
  <c r="DE42" i="1"/>
  <c r="DE50" i="1"/>
  <c r="DK158" i="1"/>
  <c r="DH194" i="1"/>
  <c r="DK9" i="1"/>
  <c r="DE25" i="1"/>
  <c r="DE61" i="1"/>
  <c r="DE65" i="1"/>
  <c r="DK81" i="1"/>
  <c r="DK93" i="1"/>
  <c r="CV4" i="1"/>
  <c r="DE90" i="1"/>
  <c r="CV110" i="1"/>
  <c r="DE137" i="1"/>
  <c r="DH76" i="1"/>
  <c r="CV46" i="1"/>
  <c r="CV251" i="1"/>
  <c r="CV23" i="1"/>
  <c r="DB135" i="1"/>
  <c r="DH267" i="1"/>
  <c r="DE94" i="1"/>
  <c r="DH32" i="1"/>
  <c r="DE180" i="1"/>
  <c r="DK50" i="1"/>
  <c r="DE98" i="1"/>
  <c r="DK262" i="1"/>
  <c r="DH59" i="1"/>
  <c r="DK111" i="1"/>
  <c r="DB187" i="1"/>
  <c r="DK82" i="1"/>
  <c r="DK206" i="1"/>
  <c r="DE71" i="1"/>
  <c r="DB123" i="1"/>
  <c r="DB167" i="1"/>
  <c r="DE30" i="1"/>
  <c r="DK86" i="1"/>
  <c r="DE130" i="1"/>
  <c r="DE170" i="1"/>
  <c r="DH186" i="1"/>
  <c r="DB127" i="1"/>
  <c r="DH159" i="1"/>
  <c r="DH203" i="1"/>
  <c r="DE227" i="1"/>
  <c r="DK239" i="1"/>
  <c r="CV63" i="1"/>
  <c r="DK47" i="1"/>
  <c r="DB103" i="1"/>
  <c r="DK215" i="1"/>
  <c r="DK121" i="1"/>
  <c r="DE132" i="1"/>
  <c r="DK178" i="1"/>
  <c r="CV151" i="1"/>
  <c r="DB211" i="1"/>
  <c r="DH168" i="1"/>
  <c r="CV215" i="1"/>
  <c r="DE51" i="1"/>
  <c r="DE147" i="1"/>
  <c r="DE209" i="1"/>
  <c r="DH55" i="1"/>
  <c r="DB206" i="1"/>
  <c r="CV219" i="1"/>
  <c r="DH132" i="1"/>
  <c r="DE178" i="1"/>
  <c r="DB182" i="1"/>
  <c r="CV71" i="1"/>
  <c r="CV135" i="1"/>
  <c r="DB59" i="1"/>
  <c r="DH263" i="1"/>
  <c r="DB45" i="1"/>
  <c r="DE105" i="1"/>
  <c r="DE265" i="1"/>
  <c r="DB38" i="1"/>
  <c r="DH66" i="1"/>
  <c r="DE74" i="1"/>
  <c r="DE110" i="1"/>
  <c r="DK162" i="1"/>
  <c r="DB190" i="1"/>
  <c r="DE96" i="1"/>
  <c r="CV15" i="1"/>
  <c r="CV207" i="1"/>
  <c r="DB63" i="1"/>
  <c r="DE163" i="1"/>
  <c r="DE169" i="1"/>
  <c r="DE233" i="1"/>
  <c r="DH70" i="1"/>
  <c r="DK54" i="1"/>
  <c r="DE150" i="1"/>
  <c r="DK194" i="1"/>
  <c r="DE270" i="1"/>
  <c r="DB88" i="1"/>
  <c r="CV103" i="1"/>
  <c r="CV167" i="1"/>
  <c r="DE195" i="1"/>
  <c r="DK21" i="1"/>
  <c r="DK57" i="1"/>
  <c r="DK209" i="1"/>
  <c r="DH257" i="1"/>
  <c r="DH164" i="1"/>
  <c r="DH210" i="1"/>
  <c r="DK226" i="1"/>
  <c r="DE250" i="1"/>
  <c r="CV14" i="1"/>
  <c r="DE27" i="1"/>
  <c r="DE131" i="1"/>
  <c r="DB271" i="1"/>
  <c r="DH5" i="1"/>
  <c r="DK41" i="1"/>
  <c r="DH65" i="1"/>
  <c r="DE145" i="1"/>
  <c r="DH84" i="1"/>
  <c r="DH230" i="1"/>
  <c r="DB62" i="1"/>
  <c r="DE82" i="1"/>
  <c r="DK134" i="1"/>
  <c r="DE194" i="1"/>
  <c r="DE238" i="1"/>
  <c r="DE199" i="1"/>
  <c r="DK55" i="1"/>
  <c r="DB111" i="1"/>
  <c r="DH219" i="1"/>
  <c r="DK72" i="1"/>
  <c r="DB53" i="1"/>
  <c r="DH114" i="1"/>
  <c r="DK83" i="1"/>
  <c r="DH69" i="1"/>
  <c r="DE33" i="1"/>
  <c r="DB61" i="1"/>
  <c r="DK77" i="1"/>
  <c r="DB149" i="1"/>
  <c r="DK181" i="1"/>
  <c r="DK197" i="1"/>
  <c r="DE221" i="1"/>
  <c r="DH112" i="1"/>
  <c r="DB164" i="1"/>
  <c r="DE24" i="1"/>
  <c r="CV140" i="1"/>
  <c r="DB216" i="1"/>
  <c r="DK219" i="1"/>
  <c r="DH26" i="1"/>
  <c r="DK30" i="1"/>
  <c r="DK34" i="1"/>
  <c r="DE126" i="1"/>
  <c r="DH170" i="1"/>
  <c r="DK190" i="1"/>
  <c r="DB198" i="1"/>
  <c r="DE234" i="1"/>
  <c r="CV126" i="1"/>
  <c r="DE263" i="1"/>
  <c r="DB15" i="1"/>
  <c r="DK31" i="1"/>
  <c r="DB35" i="1"/>
  <c r="DH75" i="1"/>
  <c r="DH79" i="1"/>
  <c r="DH155" i="1"/>
  <c r="DH179" i="1"/>
  <c r="DB243" i="1"/>
  <c r="DB48" i="1"/>
  <c r="DE23" i="1"/>
  <c r="DH122" i="1"/>
  <c r="DH101" i="1"/>
  <c r="DE29" i="1"/>
  <c r="DK105" i="1"/>
  <c r="DK185" i="1"/>
  <c r="DK249" i="1"/>
  <c r="DK261" i="1"/>
  <c r="DB56" i="1"/>
  <c r="DE84" i="1"/>
  <c r="CV20" i="1"/>
  <c r="DE14" i="1"/>
  <c r="DK66" i="1"/>
  <c r="DK210" i="1"/>
  <c r="DE246" i="1"/>
  <c r="CV39" i="1"/>
  <c r="DK7" i="1"/>
  <c r="DB67" i="1"/>
  <c r="DK135" i="1"/>
  <c r="DB143" i="1"/>
  <c r="DK183" i="1"/>
  <c r="DK231" i="1"/>
  <c r="DB247" i="1"/>
  <c r="DE157" i="1"/>
  <c r="DH226" i="1"/>
  <c r="DE231" i="1"/>
  <c r="DK152" i="1"/>
  <c r="DK147" i="1"/>
  <c r="DH133" i="1"/>
  <c r="CV19" i="1"/>
  <c r="CV83" i="1"/>
  <c r="CV147" i="1"/>
  <c r="DB29" i="1"/>
  <c r="DK61" i="1"/>
  <c r="DE81" i="1"/>
  <c r="DE113" i="1"/>
  <c r="DE125" i="1"/>
  <c r="DK141" i="1"/>
  <c r="DK116" i="1"/>
  <c r="CV156" i="1"/>
  <c r="DH156" i="1"/>
  <c r="DE268" i="1"/>
  <c r="DH18" i="1"/>
  <c r="DH50" i="1"/>
  <c r="DK94" i="1"/>
  <c r="DB118" i="1"/>
  <c r="DE154" i="1"/>
  <c r="DE166" i="1"/>
  <c r="DK222" i="1"/>
  <c r="DH258" i="1"/>
  <c r="DB24" i="1"/>
  <c r="DK124" i="1"/>
  <c r="CV174" i="1"/>
  <c r="DE83" i="1"/>
  <c r="DH115" i="1"/>
  <c r="DB171" i="1"/>
  <c r="DH88" i="1"/>
  <c r="DH165" i="1"/>
  <c r="DK13" i="1"/>
  <c r="DK65" i="1"/>
  <c r="DB117" i="1"/>
  <c r="DK161" i="1"/>
  <c r="DK205" i="1"/>
  <c r="DK213" i="1"/>
  <c r="DB32" i="1"/>
  <c r="CV36" i="1"/>
  <c r="DE63" i="1"/>
  <c r="DE22" i="1"/>
  <c r="DE46" i="1"/>
  <c r="DK106" i="1"/>
  <c r="DH202" i="1"/>
  <c r="DE258" i="1"/>
  <c r="CV119" i="1"/>
  <c r="CV183" i="1"/>
  <c r="CV247" i="1"/>
  <c r="DH39" i="1"/>
  <c r="DE107" i="1"/>
  <c r="DK119" i="1"/>
  <c r="DK143" i="1"/>
  <c r="DH187" i="1"/>
  <c r="DH211" i="1"/>
  <c r="DB223" i="1"/>
  <c r="CV216" i="1"/>
  <c r="DH37" i="1"/>
  <c r="DH262" i="1"/>
  <c r="DH146" i="1"/>
  <c r="DK174" i="1"/>
  <c r="DE160" i="1"/>
  <c r="DH197" i="1"/>
  <c r="DH17" i="1"/>
  <c r="DK25" i="1"/>
  <c r="DE93" i="1"/>
  <c r="DK153" i="1"/>
  <c r="DK169" i="1"/>
  <c r="DE189" i="1"/>
  <c r="DK217" i="1"/>
  <c r="DK221" i="1"/>
  <c r="DE253" i="1"/>
  <c r="DH265" i="1"/>
  <c r="DH136" i="1"/>
  <c r="DE184" i="1"/>
  <c r="CV180" i="1"/>
  <c r="DB22" i="1"/>
  <c r="DE38" i="1"/>
  <c r="DH82" i="1"/>
  <c r="DH90" i="1"/>
  <c r="DE206" i="1"/>
  <c r="DB52" i="1"/>
  <c r="DE100" i="1"/>
  <c r="DB36" i="1"/>
  <c r="CV255" i="1"/>
  <c r="DH11" i="1"/>
  <c r="DH35" i="1"/>
  <c r="DK71" i="1"/>
  <c r="DE115" i="1"/>
  <c r="DH119" i="1"/>
  <c r="DK191" i="1"/>
  <c r="DH243" i="1"/>
  <c r="DK263" i="1"/>
  <c r="DK96" i="1"/>
  <c r="DK176" i="1"/>
  <c r="CV72" i="1"/>
  <c r="DE229" i="1"/>
  <c r="DK14" i="1"/>
  <c r="DK63" i="1"/>
  <c r="DE37" i="1"/>
  <c r="DK45" i="1"/>
  <c r="DB69" i="1"/>
  <c r="DK101" i="1"/>
  <c r="DE121" i="1"/>
  <c r="DE237" i="1"/>
  <c r="DH241" i="1"/>
  <c r="DK257" i="1"/>
  <c r="DK136" i="1"/>
  <c r="DE88" i="1"/>
  <c r="DB106" i="1"/>
  <c r="CV84" i="1"/>
  <c r="DB132" i="1"/>
  <c r="DH192" i="1"/>
  <c r="DK74" i="1"/>
  <c r="DB102" i="1"/>
  <c r="DE134" i="1"/>
  <c r="DE174" i="1"/>
  <c r="DK182" i="1"/>
  <c r="DK186" i="1"/>
  <c r="DE254" i="1"/>
  <c r="CV142" i="1"/>
  <c r="DK67" i="1"/>
  <c r="DB51" i="1"/>
  <c r="DB147" i="1"/>
  <c r="DE219" i="1"/>
  <c r="DH223" i="1"/>
  <c r="DH152" i="1"/>
  <c r="DE5" i="1"/>
  <c r="DH49" i="1"/>
  <c r="DK53" i="1"/>
  <c r="DE133" i="1"/>
  <c r="DH177" i="1"/>
  <c r="DB221" i="1"/>
  <c r="DB248" i="1"/>
  <c r="DB138" i="1"/>
  <c r="CV28" i="1"/>
  <c r="CV92" i="1"/>
  <c r="DE60" i="1"/>
  <c r="DK27" i="1"/>
  <c r="DE31" i="1"/>
  <c r="DE6" i="1"/>
  <c r="DE10" i="1"/>
  <c r="DK70" i="1"/>
  <c r="DE122" i="1"/>
  <c r="DH162" i="1"/>
  <c r="DB246" i="1"/>
  <c r="DH236" i="1"/>
  <c r="CV47" i="1"/>
  <c r="DB23" i="1"/>
  <c r="DK39" i="1"/>
  <c r="DB55" i="1"/>
  <c r="DB75" i="1"/>
  <c r="DH87" i="1"/>
  <c r="DH91" i="1"/>
  <c r="DK207" i="1"/>
  <c r="DE251" i="1"/>
  <c r="DB157" i="1"/>
  <c r="DE242" i="1"/>
  <c r="DK270" i="1"/>
  <c r="CV91" i="1"/>
  <c r="CV155" i="1"/>
  <c r="DB37" i="1"/>
  <c r="DE89" i="1"/>
  <c r="DB125" i="1"/>
  <c r="DK157" i="1"/>
  <c r="DE249" i="1"/>
  <c r="DH8" i="1"/>
  <c r="DK272" i="1"/>
  <c r="DB170" i="1"/>
  <c r="DB40" i="1"/>
  <c r="DH74" i="1"/>
  <c r="DB134" i="1"/>
  <c r="DE162" i="1"/>
  <c r="DK218" i="1"/>
  <c r="DB254" i="1"/>
  <c r="DK168" i="1"/>
  <c r="DK131" i="1"/>
  <c r="DE103" i="1"/>
  <c r="CV55" i="1"/>
  <c r="DK15" i="1"/>
  <c r="DE59" i="1"/>
  <c r="DH63" i="1"/>
  <c r="DE155" i="1"/>
  <c r="DB219" i="1"/>
  <c r="DH255" i="1"/>
  <c r="DB200" i="1"/>
  <c r="DH120" i="1"/>
  <c r="DK62" i="1"/>
  <c r="CV99" i="1"/>
  <c r="CV227" i="1"/>
  <c r="DB5" i="1"/>
  <c r="DK29" i="1"/>
  <c r="DK73" i="1"/>
  <c r="DE101" i="1"/>
  <c r="DK109" i="1"/>
  <c r="DH145" i="1"/>
  <c r="DK165" i="1"/>
  <c r="DE197" i="1"/>
  <c r="DH209" i="1"/>
  <c r="DK225" i="1"/>
  <c r="DK229" i="1"/>
  <c r="DK233" i="1"/>
  <c r="DK180" i="1"/>
  <c r="DH166" i="1"/>
  <c r="CV108" i="1"/>
  <c r="CV252" i="1"/>
  <c r="DB60" i="1"/>
  <c r="DB80" i="1"/>
  <c r="DE156" i="1"/>
  <c r="DB240" i="1"/>
  <c r="DK91" i="1"/>
  <c r="CV13" i="1"/>
  <c r="CV197" i="1"/>
  <c r="DE18" i="1"/>
  <c r="DE62" i="1"/>
  <c r="DK78" i="1"/>
  <c r="DK110" i="1"/>
  <c r="DK114" i="1"/>
  <c r="DK126" i="1"/>
  <c r="DK138" i="1"/>
  <c r="DB166" i="1"/>
  <c r="DB174" i="1"/>
  <c r="DH218" i="1"/>
  <c r="DH148" i="1"/>
  <c r="DE252" i="1"/>
  <c r="DK220" i="1"/>
  <c r="DE4" i="1"/>
  <c r="DE236" i="1"/>
  <c r="DK163" i="1"/>
  <c r="DE135" i="1"/>
  <c r="DB249" i="1"/>
  <c r="CV127" i="1"/>
  <c r="CV191" i="1"/>
  <c r="DB83" i="1"/>
  <c r="DB107" i="1"/>
  <c r="DB179" i="1"/>
  <c r="DB251" i="1"/>
  <c r="DH28" i="1"/>
  <c r="DB72" i="1"/>
  <c r="DH244" i="1"/>
  <c r="DH214" i="1"/>
  <c r="CV224" i="1"/>
  <c r="DE44" i="1"/>
  <c r="DB68" i="1"/>
  <c r="DH92" i="1"/>
  <c r="DK144" i="1"/>
  <c r="DB160" i="1"/>
  <c r="DK232" i="1"/>
  <c r="CV226" i="1"/>
  <c r="DK268" i="1"/>
  <c r="CV266" i="1"/>
  <c r="DE208" i="1"/>
  <c r="CV193" i="1"/>
  <c r="DK203" i="1"/>
  <c r="DK75" i="1"/>
  <c r="DK20" i="1"/>
  <c r="DH83" i="1"/>
  <c r="DH229" i="1"/>
  <c r="DE215" i="1"/>
  <c r="DE57" i="1"/>
  <c r="DB93" i="1"/>
  <c r="DK113" i="1"/>
  <c r="DB181" i="1"/>
  <c r="DE257" i="1"/>
  <c r="DE261" i="1"/>
  <c r="DK269" i="1"/>
  <c r="DK212" i="1"/>
  <c r="DH198" i="1"/>
  <c r="DB268" i="1"/>
  <c r="DK146" i="1"/>
  <c r="DK24" i="1"/>
  <c r="CV70" i="1"/>
  <c r="DK88" i="1"/>
  <c r="CV7" i="1"/>
  <c r="DH19" i="1"/>
  <c r="DH51" i="1"/>
  <c r="DH95" i="1"/>
  <c r="DH147" i="1"/>
  <c r="DB183" i="1"/>
  <c r="DB199" i="1"/>
  <c r="DB255" i="1"/>
  <c r="DH176" i="1"/>
  <c r="DB120" i="1"/>
  <c r="DH81" i="1"/>
  <c r="DE247" i="1"/>
  <c r="DB101" i="1"/>
  <c r="DE153" i="1"/>
  <c r="DB189" i="1"/>
  <c r="DE217" i="1"/>
  <c r="DK32" i="1"/>
  <c r="DK248" i="1"/>
  <c r="DK244" i="1"/>
  <c r="CV268" i="1"/>
  <c r="DB156" i="1"/>
  <c r="DK10" i="1"/>
  <c r="DE86" i="1"/>
  <c r="DK150" i="1"/>
  <c r="DE202" i="1"/>
  <c r="DE214" i="1"/>
  <c r="DH242" i="1"/>
  <c r="DK258" i="1"/>
  <c r="DK266" i="1"/>
  <c r="DK227" i="1"/>
  <c r="DH23" i="1"/>
  <c r="DB115" i="1"/>
  <c r="DB159" i="1"/>
  <c r="DE187" i="1"/>
  <c r="DK271" i="1"/>
  <c r="CV107" i="1"/>
  <c r="CV205" i="1"/>
  <c r="DE175" i="1"/>
  <c r="CV115" i="1"/>
  <c r="CV179" i="1"/>
  <c r="DE55" i="1"/>
  <c r="CV253" i="1"/>
  <c r="DE87" i="1"/>
  <c r="CV11" i="1"/>
  <c r="CV139" i="1"/>
  <c r="DK149" i="1"/>
  <c r="DH201" i="1"/>
  <c r="DE241" i="1"/>
  <c r="DH224" i="1"/>
  <c r="CV100" i="1"/>
  <c r="CV172" i="1"/>
  <c r="CV244" i="1"/>
  <c r="DE3" i="1"/>
  <c r="DK59" i="1"/>
  <c r="DB145" i="1"/>
  <c r="CV173" i="1"/>
  <c r="DK98" i="1"/>
  <c r="DK198" i="1"/>
  <c r="DE266" i="1"/>
  <c r="DB188" i="1"/>
  <c r="DK156" i="1"/>
  <c r="CV198" i="1"/>
  <c r="DB64" i="1"/>
  <c r="DB116" i="1"/>
  <c r="DH140" i="1"/>
  <c r="DB260" i="1"/>
  <c r="DB185" i="1"/>
  <c r="DB99" i="1"/>
  <c r="DB195" i="1"/>
  <c r="DH207" i="1"/>
  <c r="DB12" i="1"/>
  <c r="DB124" i="1"/>
  <c r="DE220" i="1"/>
  <c r="DK264" i="1"/>
  <c r="DK132" i="1"/>
  <c r="CV56" i="1"/>
  <c r="CV144" i="1"/>
  <c r="CV9" i="1"/>
  <c r="CV265" i="1"/>
  <c r="DH157" i="1"/>
  <c r="CV234" i="1"/>
  <c r="CV25" i="1"/>
  <c r="DK235" i="1"/>
  <c r="CV122" i="1"/>
  <c r="DE80" i="1"/>
  <c r="CV161" i="1"/>
  <c r="DB73" i="1"/>
  <c r="CV75" i="1"/>
  <c r="DH9" i="1"/>
  <c r="DE77" i="1"/>
  <c r="DK89" i="1"/>
  <c r="DB109" i="1"/>
  <c r="DH129" i="1"/>
  <c r="DK253" i="1"/>
  <c r="DH248" i="1"/>
  <c r="CV228" i="1"/>
  <c r="DK251" i="1"/>
  <c r="DE255" i="1"/>
  <c r="CV125" i="1"/>
  <c r="CV269" i="1"/>
  <c r="DK58" i="1"/>
  <c r="DE118" i="1"/>
  <c r="DE138" i="1"/>
  <c r="DE146" i="1"/>
  <c r="DE158" i="1"/>
  <c r="DK202" i="1"/>
  <c r="DB230" i="1"/>
  <c r="DB238" i="1"/>
  <c r="DB76" i="1"/>
  <c r="DH100" i="1"/>
  <c r="DK128" i="1"/>
  <c r="DB148" i="1"/>
  <c r="DB168" i="1"/>
  <c r="DK92" i="1"/>
  <c r="DB50" i="1"/>
  <c r="DH64" i="1"/>
  <c r="DE116" i="1"/>
  <c r="DE260" i="1"/>
  <c r="DH53" i="1"/>
  <c r="DE39" i="1"/>
  <c r="DB121" i="1"/>
  <c r="DE75" i="1"/>
  <c r="DK87" i="1"/>
  <c r="DH111" i="1"/>
  <c r="DB163" i="1"/>
  <c r="DE171" i="1"/>
  <c r="DB263" i="1"/>
  <c r="DB267" i="1"/>
  <c r="DB28" i="1"/>
  <c r="DB96" i="1"/>
  <c r="DE124" i="1"/>
  <c r="DH182" i="1"/>
  <c r="DB173" i="1"/>
  <c r="DB105" i="1"/>
  <c r="CV211" i="1"/>
  <c r="DH97" i="1"/>
  <c r="DE117" i="1"/>
  <c r="DH137" i="1"/>
  <c r="DH185" i="1"/>
  <c r="DH193" i="1"/>
  <c r="DH249" i="1"/>
  <c r="DB269" i="1"/>
  <c r="DE196" i="1"/>
  <c r="DH3" i="1"/>
  <c r="DE108" i="1"/>
  <c r="DB192" i="1"/>
  <c r="DH240" i="1"/>
  <c r="DB49" i="1"/>
  <c r="CV141" i="1"/>
  <c r="DH58" i="1"/>
  <c r="DE114" i="1"/>
  <c r="DB126" i="1"/>
  <c r="DB150" i="1"/>
  <c r="DH178" i="1"/>
  <c r="DE262" i="1"/>
  <c r="DE52" i="1"/>
  <c r="DB208" i="1"/>
  <c r="DB228" i="1"/>
  <c r="DH252" i="1"/>
  <c r="DH4" i="1"/>
  <c r="DE36" i="1"/>
  <c r="DE172" i="1"/>
  <c r="DB204" i="1"/>
  <c r="DK99" i="1"/>
  <c r="DH85" i="1"/>
  <c r="DB153" i="1"/>
  <c r="CV111" i="1"/>
  <c r="CV175" i="1"/>
  <c r="CV239" i="1"/>
  <c r="CV194" i="1"/>
  <c r="CV17" i="1"/>
  <c r="DB169" i="1"/>
  <c r="DB237" i="1"/>
  <c r="DB14" i="1"/>
  <c r="DH34" i="1"/>
  <c r="DK242" i="1"/>
  <c r="DH128" i="1"/>
  <c r="DH149" i="1"/>
  <c r="DK167" i="1"/>
  <c r="DE203" i="1"/>
  <c r="DK164" i="1"/>
  <c r="DB154" i="1"/>
  <c r="CV41" i="1"/>
  <c r="CV10" i="1"/>
  <c r="CV49" i="1"/>
  <c r="CV57" i="1"/>
  <c r="DH93" i="1"/>
  <c r="CV154" i="1"/>
  <c r="DE164" i="1"/>
  <c r="DE216" i="1"/>
  <c r="DB234" i="1"/>
  <c r="CV52" i="1"/>
  <c r="CV188" i="1"/>
  <c r="DB3" i="1"/>
  <c r="DK40" i="1"/>
  <c r="DB108" i="1"/>
  <c r="DK123" i="1"/>
  <c r="DE127" i="1"/>
  <c r="CV45" i="1"/>
  <c r="DE70" i="1"/>
  <c r="DH234" i="1"/>
  <c r="DK254" i="1"/>
  <c r="DB270" i="1"/>
  <c r="DE64" i="1"/>
  <c r="CV238" i="1"/>
  <c r="DE140" i="1"/>
  <c r="DB172" i="1"/>
  <c r="DH204" i="1"/>
  <c r="DK195" i="1"/>
  <c r="DH181" i="1"/>
  <c r="DE11" i="1"/>
  <c r="DK23" i="1"/>
  <c r="DB27" i="1"/>
  <c r="DH67" i="1"/>
  <c r="DH71" i="1"/>
  <c r="DB79" i="1"/>
  <c r="DH139" i="1"/>
  <c r="DH163" i="1"/>
  <c r="DE211" i="1"/>
  <c r="DB227" i="1"/>
  <c r="DE235" i="1"/>
  <c r="DK196" i="1"/>
  <c r="DH246" i="1"/>
  <c r="DB250" i="1"/>
  <c r="CV80" i="1"/>
  <c r="CV160" i="1"/>
  <c r="CV232" i="1"/>
  <c r="DB122" i="1"/>
  <c r="DK211" i="1"/>
  <c r="DK69" i="1"/>
  <c r="DE181" i="1"/>
  <c r="DB201" i="1"/>
  <c r="CV235" i="1"/>
  <c r="DE49" i="1"/>
  <c r="DE177" i="1"/>
  <c r="DH217" i="1"/>
  <c r="DB233" i="1"/>
  <c r="CV243" i="1"/>
  <c r="DE17" i="1"/>
  <c r="DE53" i="1"/>
  <c r="DH73" i="1"/>
  <c r="DK129" i="1"/>
  <c r="DH225" i="1"/>
  <c r="DB8" i="1"/>
  <c r="DB266" i="1"/>
  <c r="CV204" i="1"/>
  <c r="DH20" i="1"/>
  <c r="DE159" i="1"/>
  <c r="CV69" i="1"/>
  <c r="CV213" i="1"/>
  <c r="DB46" i="1"/>
  <c r="DK118" i="1"/>
  <c r="DK122" i="1"/>
  <c r="DK170" i="1"/>
  <c r="DK246" i="1"/>
  <c r="DE76" i="1"/>
  <c r="DB128" i="1"/>
  <c r="DH188" i="1"/>
  <c r="DH228" i="1"/>
  <c r="DB4" i="1"/>
  <c r="DK64" i="1"/>
  <c r="DH116" i="1"/>
  <c r="DH213" i="1"/>
  <c r="CV143" i="1"/>
  <c r="DE35" i="1"/>
  <c r="DE67" i="1"/>
  <c r="DK103" i="1"/>
  <c r="DK151" i="1"/>
  <c r="DH167" i="1"/>
  <c r="DK223" i="1"/>
  <c r="DK243" i="1"/>
  <c r="CV171" i="1"/>
  <c r="DH161" i="1"/>
  <c r="DB9" i="1"/>
  <c r="DB265" i="1"/>
  <c r="DK5" i="1"/>
  <c r="DE21" i="1"/>
  <c r="DH33" i="1"/>
  <c r="DK133" i="1"/>
  <c r="DB141" i="1"/>
  <c r="DE149" i="1"/>
  <c r="DH169" i="1"/>
  <c r="DE213" i="1"/>
  <c r="DH233" i="1"/>
  <c r="DH56" i="1"/>
  <c r="DK112" i="1"/>
  <c r="DB136" i="1"/>
  <c r="DB42" i="1"/>
  <c r="CV132" i="1"/>
  <c r="CV212" i="1"/>
  <c r="DK80" i="1"/>
  <c r="DK187" i="1"/>
  <c r="DE191" i="1"/>
  <c r="CV77" i="1"/>
  <c r="CV237" i="1"/>
  <c r="DK26" i="1"/>
  <c r="DE66" i="1"/>
  <c r="DB86" i="1"/>
  <c r="DE218" i="1"/>
  <c r="DE230" i="1"/>
  <c r="DH52" i="1"/>
  <c r="DE148" i="1"/>
  <c r="DK208" i="1"/>
  <c r="DH36" i="1"/>
  <c r="DE204" i="1"/>
  <c r="DB236" i="1"/>
  <c r="DH260" i="1"/>
  <c r="DK3" i="1"/>
  <c r="DH245" i="1"/>
  <c r="DB7" i="1"/>
  <c r="DK148" i="1"/>
  <c r="DH117" i="1"/>
  <c r="DB41" i="1"/>
  <c r="CV3" i="1"/>
  <c r="DB21" i="1"/>
  <c r="DH41" i="1"/>
  <c r="DK85" i="1"/>
  <c r="DH121" i="1"/>
  <c r="DB205" i="1"/>
  <c r="DK241" i="1"/>
  <c r="DK245" i="1"/>
  <c r="DH38" i="1"/>
  <c r="CV12" i="1"/>
  <c r="CV76" i="1"/>
  <c r="CV220" i="1"/>
  <c r="DH60" i="1"/>
  <c r="DH80" i="1"/>
  <c r="DH108" i="1"/>
  <c r="DH268" i="1"/>
  <c r="CV109" i="1"/>
  <c r="DK6" i="1"/>
  <c r="DB78" i="1"/>
  <c r="DE106" i="1"/>
  <c r="DE226" i="1"/>
  <c r="DH266" i="1"/>
  <c r="DE188" i="1"/>
  <c r="DH208" i="1"/>
  <c r="DE228" i="1"/>
  <c r="DB252" i="1"/>
  <c r="DK28" i="1"/>
  <c r="DB140" i="1"/>
  <c r="DH172" i="1"/>
  <c r="DK35" i="1"/>
  <c r="DH21" i="1"/>
  <c r="DK36" i="1"/>
  <c r="DH118" i="1"/>
  <c r="DE136" i="1"/>
  <c r="CV32" i="1"/>
  <c r="CV128" i="1"/>
  <c r="CV200" i="1"/>
  <c r="CV264" i="1"/>
  <c r="DH16" i="1"/>
  <c r="DE68" i="1"/>
  <c r="DB92" i="1"/>
  <c r="DK120" i="1"/>
  <c r="DH184" i="1"/>
  <c r="CV66" i="1"/>
  <c r="DB98" i="1"/>
  <c r="CV201" i="1"/>
  <c r="CV170" i="1"/>
  <c r="DB130" i="1"/>
  <c r="CV209" i="1"/>
  <c r="DB161" i="1"/>
  <c r="CV217" i="1"/>
  <c r="CV58" i="1"/>
  <c r="DH94" i="1"/>
  <c r="CV97" i="1"/>
  <c r="CV18" i="1"/>
  <c r="DB162" i="1"/>
  <c r="DH190" i="1"/>
  <c r="DE48" i="1"/>
  <c r="DH7" i="1"/>
  <c r="DH31" i="1"/>
  <c r="DB47" i="1"/>
  <c r="DB71" i="1"/>
  <c r="DK95" i="1"/>
  <c r="DH107" i="1"/>
  <c r="DH131" i="1"/>
  <c r="DH135" i="1"/>
  <c r="DB151" i="1"/>
  <c r="DE179" i="1"/>
  <c r="DH183" i="1"/>
  <c r="DK68" i="1"/>
  <c r="DH150" i="1"/>
  <c r="DE232" i="1"/>
  <c r="CV40" i="1"/>
  <c r="CV136" i="1"/>
  <c r="CV208" i="1"/>
  <c r="CV272" i="1"/>
  <c r="DH44" i="1"/>
  <c r="DK104" i="1"/>
  <c r="DH160" i="1"/>
  <c r="DB184" i="1"/>
  <c r="DB212" i="1"/>
  <c r="DB232" i="1"/>
  <c r="DK256" i="1"/>
  <c r="CV98" i="1"/>
  <c r="DB226" i="1"/>
  <c r="CV233" i="1"/>
  <c r="DH29" i="1"/>
  <c r="CV202" i="1"/>
  <c r="DB258" i="1"/>
  <c r="CV241" i="1"/>
  <c r="CV249" i="1"/>
  <c r="CV90" i="1"/>
  <c r="DH222" i="1"/>
  <c r="CV129" i="1"/>
  <c r="CV82" i="1"/>
  <c r="CV146" i="1"/>
  <c r="CV210" i="1"/>
  <c r="DB16" i="1"/>
  <c r="DH104" i="1"/>
  <c r="DH144" i="1"/>
  <c r="DH256" i="1"/>
  <c r="DH125" i="1"/>
  <c r="DH126" i="1"/>
  <c r="CV73" i="1"/>
  <c r="CV42" i="1"/>
  <c r="CV81" i="1"/>
  <c r="CV89" i="1"/>
  <c r="DH221" i="1"/>
  <c r="CV186" i="1"/>
  <c r="DB66" i="1"/>
  <c r="CV225" i="1"/>
  <c r="DB34" i="1"/>
  <c r="DH62" i="1"/>
  <c r="DE47" i="1"/>
  <c r="DE243" i="1"/>
  <c r="DH247" i="1"/>
  <c r="DK200" i="1"/>
  <c r="DB220" i="1"/>
  <c r="DE244" i="1"/>
  <c r="DH22" i="1"/>
  <c r="DE8" i="1"/>
  <c r="CV8" i="1"/>
  <c r="CV104" i="1"/>
  <c r="CV168" i="1"/>
  <c r="DE92" i="1"/>
  <c r="DH212" i="1"/>
  <c r="DB256" i="1"/>
  <c r="DH253" i="1"/>
  <c r="DH254" i="1"/>
  <c r="CV105" i="1"/>
  <c r="CV74" i="1"/>
  <c r="DH30" i="1"/>
  <c r="CV113" i="1"/>
  <c r="DH61" i="1"/>
  <c r="CV121" i="1"/>
  <c r="DB65" i="1"/>
  <c r="CV218" i="1"/>
  <c r="DB194" i="1"/>
  <c r="CV257" i="1"/>
  <c r="CV114" i="1"/>
  <c r="CV178" i="1"/>
  <c r="CV242" i="1"/>
  <c r="DH103" i="1"/>
  <c r="DB207" i="1"/>
  <c r="DH251" i="1"/>
  <c r="DB259" i="1"/>
  <c r="DH271" i="1"/>
  <c r="DH12" i="1"/>
  <c r="DE28" i="1"/>
  <c r="DH124" i="1"/>
  <c r="DH264" i="1"/>
  <c r="DH54" i="1"/>
  <c r="DE40" i="1"/>
  <c r="CV16" i="1"/>
  <c r="CV112" i="1"/>
  <c r="CV184" i="1"/>
  <c r="CV248" i="1"/>
  <c r="DB44" i="1"/>
  <c r="DH68" i="1"/>
  <c r="DK160" i="1"/>
  <c r="DK184" i="1"/>
  <c r="DH232" i="1"/>
  <c r="DB97" i="1"/>
  <c r="DE112" i="1"/>
  <c r="CV137" i="1"/>
  <c r="CV106" i="1"/>
  <c r="DH158" i="1"/>
  <c r="CV145" i="1"/>
  <c r="DH189" i="1"/>
  <c r="CV153" i="1"/>
  <c r="DB193" i="1"/>
  <c r="CV250" i="1"/>
  <c r="DK108" i="1"/>
  <c r="CV33" i="1"/>
  <c r="DK76" i="1"/>
  <c r="DB39" i="1"/>
  <c r="DK159" i="1"/>
  <c r="DH175" i="1"/>
  <c r="DH195" i="1"/>
  <c r="DH199" i="1"/>
  <c r="DB215" i="1"/>
  <c r="DB239" i="1"/>
  <c r="DK255" i="1"/>
  <c r="DE267" i="1"/>
  <c r="DE12" i="1"/>
  <c r="DH220" i="1"/>
  <c r="DB244" i="1"/>
  <c r="DB264" i="1"/>
  <c r="DH86" i="1"/>
  <c r="DE104" i="1"/>
  <c r="CV24" i="1"/>
  <c r="CV192" i="1"/>
  <c r="CV256" i="1"/>
  <c r="DK16" i="1"/>
  <c r="DB104" i="1"/>
  <c r="DB144" i="1"/>
  <c r="DE212" i="1"/>
  <c r="DB225" i="1"/>
  <c r="DE240" i="1"/>
  <c r="CV169" i="1"/>
  <c r="CV138" i="1"/>
  <c r="DE272" i="1"/>
  <c r="CV177" i="1"/>
  <c r="DB33" i="1"/>
  <c r="CV185" i="1"/>
  <c r="CV26" i="1"/>
  <c r="DK236" i="1"/>
  <c r="CV65" i="1"/>
  <c r="DE176" i="1"/>
  <c r="AA1" i="2"/>
  <c r="AH1" i="2"/>
  <c r="AT1" i="2"/>
  <c r="AO1" i="2"/>
  <c r="AS1" i="2"/>
  <c r="Y1" i="2"/>
  <c r="AI1" i="2"/>
  <c r="AB1" i="2"/>
  <c r="AX1" i="2"/>
  <c r="AL1" i="2"/>
  <c r="AG1" i="2"/>
  <c r="AJ1" i="2"/>
  <c r="AP1" i="2"/>
  <c r="AR1" i="2"/>
  <c r="AQ1" i="2"/>
  <c r="AD1" i="2"/>
  <c r="AV1" i="2"/>
  <c r="AC1" i="2"/>
  <c r="X1" i="2"/>
  <c r="AE1" i="2"/>
  <c r="AN1" i="2"/>
  <c r="AF1" i="2"/>
  <c r="AK1" i="2"/>
  <c r="AW1" i="2"/>
  <c r="AU1" i="2"/>
  <c r="Z1" i="2"/>
  <c r="AY1" i="2"/>
  <c r="AM1" i="2"/>
  <c r="DR1" i="1"/>
  <c r="ER1" i="1"/>
  <c r="D21" i="3"/>
  <c r="EB1" i="1"/>
  <c r="DT1" i="1"/>
  <c r="D8" i="3"/>
  <c r="DD1" i="1"/>
  <c r="D23" i="3"/>
  <c r="G20" i="3"/>
  <c r="DZ1" i="1"/>
  <c r="D15" i="3"/>
  <c r="G7" i="3"/>
  <c r="D4" i="3"/>
  <c r="G22" i="3"/>
  <c r="EF1" i="1"/>
  <c r="D17" i="3"/>
  <c r="G9" i="3"/>
  <c r="G24" i="3"/>
  <c r="EL1" i="1"/>
  <c r="ED1" i="1"/>
  <c r="G16" i="3"/>
  <c r="DN1" i="1"/>
  <c r="DF1" i="1"/>
  <c r="G3" i="3"/>
  <c r="D3" i="3"/>
  <c r="EM1" i="1"/>
  <c r="EE1" i="1"/>
  <c r="DW1" i="1"/>
  <c r="DO1" i="1"/>
  <c r="DG1" i="1"/>
  <c r="DJ1" i="1"/>
  <c r="G8" i="3"/>
  <c r="G17" i="3"/>
  <c r="G4" i="3"/>
  <c r="D5" i="3"/>
  <c r="G21" i="3"/>
  <c r="D22" i="3"/>
  <c r="G19" i="3"/>
  <c r="D9" i="3"/>
  <c r="G6" i="3"/>
  <c r="D24" i="3"/>
  <c r="EK1" i="1"/>
  <c r="EC1" i="1"/>
  <c r="D16" i="3"/>
  <c r="DM1" i="1"/>
  <c r="EQ1" i="1"/>
  <c r="EI1" i="1"/>
  <c r="EA1" i="1"/>
  <c r="DS1" i="1"/>
  <c r="DC1" i="1"/>
  <c r="EP1" i="1"/>
  <c r="EO1" i="1"/>
  <c r="EG1" i="1"/>
  <c r="DY1" i="1"/>
  <c r="DQ1" i="1"/>
  <c r="DI1" i="1"/>
  <c r="DA1" i="1"/>
  <c r="G23" i="3"/>
  <c r="D18" i="3"/>
  <c r="G15" i="3"/>
  <c r="EH1" i="1"/>
  <c r="D20" i="3"/>
  <c r="D7" i="3"/>
  <c r="EN1" i="1"/>
  <c r="DX1" i="1"/>
  <c r="DP1" i="1"/>
  <c r="CZ1" i="1"/>
  <c r="G5" i="3"/>
  <c r="G18" i="3"/>
  <c r="CW1" i="1"/>
  <c r="D6" i="3"/>
  <c r="D19" i="3"/>
  <c r="ET1" i="1"/>
  <c r="DV1" i="1"/>
  <c r="CX1" i="1"/>
  <c r="ES1" i="1"/>
  <c r="DU1" i="1"/>
  <c r="EJ1" i="1"/>
  <c r="DL1" i="1"/>
  <c r="Y259" i="1"/>
  <c r="Y267" i="1"/>
  <c r="Y251" i="1"/>
  <c r="Y3" i="1"/>
  <c r="X265" i="1"/>
  <c r="X225" i="1"/>
  <c r="X209" i="1"/>
  <c r="X201" i="1"/>
  <c r="X193" i="1"/>
  <c r="X185" i="1"/>
  <c r="X177" i="1"/>
  <c r="X169" i="1"/>
  <c r="X161" i="1"/>
  <c r="X153" i="1"/>
  <c r="X145" i="1"/>
  <c r="X137" i="1"/>
  <c r="X129" i="1"/>
  <c r="X121" i="1"/>
  <c r="X113" i="1"/>
  <c r="X105" i="1"/>
  <c r="X97" i="1"/>
  <c r="X89" i="1"/>
  <c r="X81" i="1"/>
  <c r="X73" i="1"/>
  <c r="X65" i="1"/>
  <c r="X57" i="1"/>
  <c r="X49" i="1"/>
  <c r="DB1" i="1" l="1"/>
  <c r="DK1" i="1"/>
  <c r="CV1" i="1"/>
  <c r="DH1" i="1"/>
  <c r="CY1" i="1"/>
  <c r="DE1" i="1"/>
  <c r="D10" i="3"/>
  <c r="G10" i="3"/>
  <c r="G25" i="3"/>
  <c r="D25" i="3"/>
  <c r="K19" i="3" l="1"/>
  <c r="D11" i="3" s="1"/>
  <c r="G11" i="3" l="1"/>
  <c r="G26" i="3"/>
  <c r="D26" i="3"/>
  <c r="X43" i="1" l="1"/>
  <c r="X42" i="1"/>
  <c r="X19" i="1"/>
  <c r="X23" i="1"/>
  <c r="X12" i="1"/>
  <c r="X24" i="1"/>
  <c r="X28" i="1"/>
  <c r="X21" i="1"/>
  <c r="X17" i="1"/>
  <c r="X31" i="1"/>
  <c r="X11" i="1"/>
  <c r="X30" i="1"/>
  <c r="X20" i="1"/>
  <c r="X14" i="1"/>
  <c r="X22" i="1"/>
  <c r="X18" i="1"/>
  <c r="X25" i="1"/>
  <c r="X26" i="1"/>
  <c r="AK3" i="1"/>
  <c r="X3" i="1"/>
</calcChain>
</file>

<file path=xl/sharedStrings.xml><?xml version="1.0" encoding="utf-8"?>
<sst xmlns="http://schemas.openxmlformats.org/spreadsheetml/2006/main" count="4384" uniqueCount="1146">
  <si>
    <t>admin1Name_en</t>
  </si>
  <si>
    <t>admin1Pcode</t>
  </si>
  <si>
    <t>admin2Name_en</t>
  </si>
  <si>
    <t>admin2Pcode</t>
  </si>
  <si>
    <t>admin3Name_en</t>
  </si>
  <si>
    <t>admin3Pcode</t>
  </si>
  <si>
    <t>Tartous</t>
  </si>
  <si>
    <t>SY10</t>
  </si>
  <si>
    <t>Safita</t>
  </si>
  <si>
    <t>SY1003</t>
  </si>
  <si>
    <t>Sisniyyeh</t>
  </si>
  <si>
    <t>SY100304</t>
  </si>
  <si>
    <t>Lattakia</t>
  </si>
  <si>
    <t>SY06</t>
  </si>
  <si>
    <t>SY0600</t>
  </si>
  <si>
    <t>Ein El-Bayda</t>
  </si>
  <si>
    <t>SY060003</t>
  </si>
  <si>
    <t>Homs</t>
  </si>
  <si>
    <t>SY04</t>
  </si>
  <si>
    <t>SY0401</t>
  </si>
  <si>
    <t>Shin</t>
  </si>
  <si>
    <t>SY040111</t>
  </si>
  <si>
    <t>Dreikish</t>
  </si>
  <si>
    <t>SY1004</t>
  </si>
  <si>
    <t>Dweir Raslan</t>
  </si>
  <si>
    <t>SY100403</t>
  </si>
  <si>
    <t>Ein Elniser</t>
  </si>
  <si>
    <t>SY040103</t>
  </si>
  <si>
    <t>Dar'a</t>
  </si>
  <si>
    <t>SY12</t>
  </si>
  <si>
    <t>Izra'</t>
  </si>
  <si>
    <t>SY1203</t>
  </si>
  <si>
    <t>Hrak</t>
  </si>
  <si>
    <t>SY120302</t>
  </si>
  <si>
    <t>SY1000</t>
  </si>
  <si>
    <t>Kareemeh</t>
  </si>
  <si>
    <t>SY100005</t>
  </si>
  <si>
    <t>Hameidiyyeh</t>
  </si>
  <si>
    <t>SY100002</t>
  </si>
  <si>
    <t>SY1200</t>
  </si>
  <si>
    <t>Jizeh</t>
  </si>
  <si>
    <t>SY120006</t>
  </si>
  <si>
    <t>Jablah</t>
  </si>
  <si>
    <t>SY0602</t>
  </si>
  <si>
    <t>Ein Elsharqiyeh</t>
  </si>
  <si>
    <t>SY060201</t>
  </si>
  <si>
    <t>Kherbet Elma'aza</t>
  </si>
  <si>
    <t>SY100003</t>
  </si>
  <si>
    <t>Safsafa</t>
  </si>
  <si>
    <t>SY100006</t>
  </si>
  <si>
    <t>Qteilbiyyeh</t>
  </si>
  <si>
    <t>SY060202</t>
  </si>
  <si>
    <t>Ras El-Khashufeh</t>
  </si>
  <si>
    <t>SY100305</t>
  </si>
  <si>
    <t>Aleppo</t>
  </si>
  <si>
    <t>SY02</t>
  </si>
  <si>
    <t>Ain Al Arab</t>
  </si>
  <si>
    <t>SY0206</t>
  </si>
  <si>
    <t>Lower Shyookh</t>
  </si>
  <si>
    <t>SY020601</t>
  </si>
  <si>
    <t>Hanadi</t>
  </si>
  <si>
    <t>SY060006</t>
  </si>
  <si>
    <t>Tall Kalakh</t>
  </si>
  <si>
    <t>SY0403</t>
  </si>
  <si>
    <t>Nasra</t>
  </si>
  <si>
    <t>SY040303</t>
  </si>
  <si>
    <t>Qadmous</t>
  </si>
  <si>
    <t>SY1006</t>
  </si>
  <si>
    <t>Anaza</t>
  </si>
  <si>
    <t>SY100601</t>
  </si>
  <si>
    <t>Sheikh Badr</t>
  </si>
  <si>
    <t>SY1005</t>
  </si>
  <si>
    <t>Qumseyyeh</t>
  </si>
  <si>
    <t>SY100502</t>
  </si>
  <si>
    <t>Al-Qardaha</t>
  </si>
  <si>
    <t>SY0604</t>
  </si>
  <si>
    <t>Fakhura</t>
  </si>
  <si>
    <t>SY060402</t>
  </si>
  <si>
    <t>Banyas</t>
  </si>
  <si>
    <t>SY1002</t>
  </si>
  <si>
    <t>Rawda</t>
  </si>
  <si>
    <t>SY100201</t>
  </si>
  <si>
    <t>Mseifra</t>
  </si>
  <si>
    <t>SY120007</t>
  </si>
  <si>
    <t>Kherbet Tin Noor</t>
  </si>
  <si>
    <t>SY040102</t>
  </si>
  <si>
    <t>Hawash</t>
  </si>
  <si>
    <t>SY040304</t>
  </si>
  <si>
    <t>Al-Haffa</t>
  </si>
  <si>
    <t>SY0603</t>
  </si>
  <si>
    <t>SY060300</t>
  </si>
  <si>
    <t>SY060400</t>
  </si>
  <si>
    <t>SY100300</t>
  </si>
  <si>
    <t>Mashta Elhiu</t>
  </si>
  <si>
    <t>SY100301</t>
  </si>
  <si>
    <t>Hamam Wasil</t>
  </si>
  <si>
    <t>SY100603</t>
  </si>
  <si>
    <t>Jasim</t>
  </si>
  <si>
    <t>SY120301</t>
  </si>
  <si>
    <t>Baramanet Elmashayekh</t>
  </si>
  <si>
    <t>SY100501</t>
  </si>
  <si>
    <t>Ar-Rastan</t>
  </si>
  <si>
    <t>SY0404</t>
  </si>
  <si>
    <t>SY040400</t>
  </si>
  <si>
    <t>Rural Damascus</t>
  </si>
  <si>
    <t>SY03</t>
  </si>
  <si>
    <t>Az-Zabdani</t>
  </si>
  <si>
    <t>SY0307</t>
  </si>
  <si>
    <t>Dimas</t>
  </si>
  <si>
    <t>SY030701</t>
  </si>
  <si>
    <t>SY100200</t>
  </si>
  <si>
    <t>SY040300</t>
  </si>
  <si>
    <t>Al Bab</t>
  </si>
  <si>
    <t>SY0202</t>
  </si>
  <si>
    <t>Dayr Hafir</t>
  </si>
  <si>
    <t>SY020202</t>
  </si>
  <si>
    <t>SY060200</t>
  </si>
  <si>
    <t>SY100400</t>
  </si>
  <si>
    <t>Al Makhrim</t>
  </si>
  <si>
    <t>SY0406</t>
  </si>
  <si>
    <t>SY040600</t>
  </si>
  <si>
    <t>As-Sanamayn</t>
  </si>
  <si>
    <t>SY1202</t>
  </si>
  <si>
    <t>SY120200</t>
  </si>
  <si>
    <t>Ain al Arab</t>
  </si>
  <si>
    <t>SY020600</t>
  </si>
  <si>
    <t>Raqama</t>
  </si>
  <si>
    <t>SY040105</t>
  </si>
  <si>
    <t>A'zaz</t>
  </si>
  <si>
    <t>SY0204</t>
  </si>
  <si>
    <t>Tall Refaat</t>
  </si>
  <si>
    <t>SY020402</t>
  </si>
  <si>
    <t>Soda Khawabi</t>
  </si>
  <si>
    <t>SY100004</t>
  </si>
  <si>
    <t>Farqalas</t>
  </si>
  <si>
    <t>SY040104</t>
  </si>
  <si>
    <t>Sarin</t>
  </si>
  <si>
    <t>SY020602</t>
  </si>
  <si>
    <t>SY100500</t>
  </si>
  <si>
    <t>Talbiseh</t>
  </si>
  <si>
    <t>SY040401</t>
  </si>
  <si>
    <t>SY0301</t>
  </si>
  <si>
    <t>Jaramana</t>
  </si>
  <si>
    <t>SY030103</t>
  </si>
  <si>
    <t>Qastal Maaf</t>
  </si>
  <si>
    <t>SY060004</t>
  </si>
  <si>
    <t>Qabu</t>
  </si>
  <si>
    <t>SY040110</t>
  </si>
  <si>
    <t>Jebel Saman</t>
  </si>
  <si>
    <t>SY0200</t>
  </si>
  <si>
    <t>SY020000</t>
  </si>
  <si>
    <t>SY120000</t>
  </si>
  <si>
    <t>SY060000</t>
  </si>
  <si>
    <t>Duma</t>
  </si>
  <si>
    <t>SY0302</t>
  </si>
  <si>
    <t>SY030200</t>
  </si>
  <si>
    <t>SY100602</t>
  </si>
  <si>
    <t>Deir-ez-Zor</t>
  </si>
  <si>
    <t>SY09</t>
  </si>
  <si>
    <t>Al Mayadin</t>
  </si>
  <si>
    <t>SY0903</t>
  </si>
  <si>
    <t>Ashara</t>
  </si>
  <si>
    <t>SY090302</t>
  </si>
  <si>
    <t>Afrin</t>
  </si>
  <si>
    <t>SY0203</t>
  </si>
  <si>
    <t>Bulbul</t>
  </si>
  <si>
    <t>SY020301</t>
  </si>
  <si>
    <t>SY040100</t>
  </si>
  <si>
    <t>Hama</t>
  </si>
  <si>
    <t>SY05</t>
  </si>
  <si>
    <t>SY0501</t>
  </si>
  <si>
    <t>Hamra</t>
  </si>
  <si>
    <t>SY050103</t>
  </si>
  <si>
    <t>Darayya</t>
  </si>
  <si>
    <t>SY0309</t>
  </si>
  <si>
    <t>Markaz Darayya</t>
  </si>
  <si>
    <t>SY030900</t>
  </si>
  <si>
    <t>Masyaf</t>
  </si>
  <si>
    <t>SY0504</t>
  </si>
  <si>
    <t>SY050400</t>
  </si>
  <si>
    <t>Damascus</t>
  </si>
  <si>
    <t>SY01</t>
  </si>
  <si>
    <t>SY0100</t>
  </si>
  <si>
    <t>SY010000</t>
  </si>
  <si>
    <t>Al-Hasakeh</t>
  </si>
  <si>
    <t>SY08</t>
  </si>
  <si>
    <t>SY0800</t>
  </si>
  <si>
    <t>Hole</t>
  </si>
  <si>
    <t>SY080006</t>
  </si>
  <si>
    <t>Al-Qusayr</t>
  </si>
  <si>
    <t>SY0402</t>
  </si>
  <si>
    <t>SY040200</t>
  </si>
  <si>
    <t>Idleb</t>
  </si>
  <si>
    <t>SY07</t>
  </si>
  <si>
    <t>Ariha</t>
  </si>
  <si>
    <t>SY0705</t>
  </si>
  <si>
    <t>Ehsem</t>
  </si>
  <si>
    <t>SY070501</t>
  </si>
  <si>
    <t>Kherbet Ghazala</t>
  </si>
  <si>
    <t>SY120002</t>
  </si>
  <si>
    <t>Ar-Raqqa</t>
  </si>
  <si>
    <t>SY11</t>
  </si>
  <si>
    <t>Tell Abiad</t>
  </si>
  <si>
    <t>SY1102</t>
  </si>
  <si>
    <t>SY110200</t>
  </si>
  <si>
    <t>As-Sweida</t>
  </si>
  <si>
    <t>SY13</t>
  </si>
  <si>
    <t>Salkhad</t>
  </si>
  <si>
    <t>SY1302</t>
  </si>
  <si>
    <t>Milh</t>
  </si>
  <si>
    <t>SY130204</t>
  </si>
  <si>
    <t>Harim</t>
  </si>
  <si>
    <t>SY0703</t>
  </si>
  <si>
    <t>Dana</t>
  </si>
  <si>
    <t>SY070301</t>
  </si>
  <si>
    <t>Hasyaa</t>
  </si>
  <si>
    <t>SY040108</t>
  </si>
  <si>
    <t>SY120300</t>
  </si>
  <si>
    <t>Kafr Batna</t>
  </si>
  <si>
    <t>SY030105</t>
  </si>
  <si>
    <t>Jeb Ramleh</t>
  </si>
  <si>
    <t>SY050401</t>
  </si>
  <si>
    <t>Dhameer</t>
  </si>
  <si>
    <t>SY030203</t>
  </si>
  <si>
    <t>SY070500</t>
  </si>
  <si>
    <t>Ar-Ra'ee</t>
  </si>
  <si>
    <t>SY020203</t>
  </si>
  <si>
    <t xml:space="preserve">Nawa </t>
  </si>
  <si>
    <t>SY120303</t>
  </si>
  <si>
    <t>Al Ma'ra</t>
  </si>
  <si>
    <t>SY0702</t>
  </si>
  <si>
    <t>Sanjar</t>
  </si>
  <si>
    <t>SY070202</t>
  </si>
  <si>
    <t>As-Salamiyeh</t>
  </si>
  <si>
    <t>SY0503</t>
  </si>
  <si>
    <t>Saboura</t>
  </si>
  <si>
    <t>SY050303</t>
  </si>
  <si>
    <t>Muhradah</t>
  </si>
  <si>
    <t>SY0505</t>
  </si>
  <si>
    <t>Karnaz</t>
  </si>
  <si>
    <t>SY050502</t>
  </si>
  <si>
    <t>Ein Elfijeh</t>
  </si>
  <si>
    <t>SY030702</t>
  </si>
  <si>
    <t>Mzeireb</t>
  </si>
  <si>
    <t>SY120005</t>
  </si>
  <si>
    <t>Nashabiyeh</t>
  </si>
  <si>
    <t>SY030204</t>
  </si>
  <si>
    <t>SY0700</t>
  </si>
  <si>
    <t>Sarmin</t>
  </si>
  <si>
    <t>SY070006</t>
  </si>
  <si>
    <t>Abu Kamal</t>
  </si>
  <si>
    <t>SY0902</t>
  </si>
  <si>
    <t>Hajin</t>
  </si>
  <si>
    <t>SY090201</t>
  </si>
  <si>
    <t>Ras Al Ain</t>
  </si>
  <si>
    <t>SY0804</t>
  </si>
  <si>
    <t>SY080400</t>
  </si>
  <si>
    <t>Susat</t>
  </si>
  <si>
    <t>SY090203</t>
  </si>
  <si>
    <t>Areesheh</t>
  </si>
  <si>
    <t>SY080005</t>
  </si>
  <si>
    <t xml:space="preserve">Eastern Kwaires </t>
  </si>
  <si>
    <t>SY020204</t>
  </si>
  <si>
    <t>Maaret Tamsrin</t>
  </si>
  <si>
    <t>SY070005</t>
  </si>
  <si>
    <t>Busra Esh-Sham</t>
  </si>
  <si>
    <t>SY120001</t>
  </si>
  <si>
    <t>Shadadah</t>
  </si>
  <si>
    <t>SY080002</t>
  </si>
  <si>
    <t>Masmiyyeh</t>
  </si>
  <si>
    <t>SY120201</t>
  </si>
  <si>
    <t>Wadi El-oyoun</t>
  </si>
  <si>
    <t>SY050404</t>
  </si>
  <si>
    <t>SY0901</t>
  </si>
  <si>
    <t>SY090100</t>
  </si>
  <si>
    <t>Kafr Takharim</t>
  </si>
  <si>
    <t>SY070303</t>
  </si>
  <si>
    <t>Ma'btali</t>
  </si>
  <si>
    <t>SY020306</t>
  </si>
  <si>
    <t>SY090200</t>
  </si>
  <si>
    <t>Quamishli</t>
  </si>
  <si>
    <t>SY0802</t>
  </si>
  <si>
    <t>Tal Hmis</t>
  </si>
  <si>
    <t>SY080201</t>
  </si>
  <si>
    <t>As-Suqaylabiyah</t>
  </si>
  <si>
    <t>SY0502</t>
  </si>
  <si>
    <t>Shat-ha</t>
  </si>
  <si>
    <t>SY050203</t>
  </si>
  <si>
    <t>SY1101</t>
  </si>
  <si>
    <t>SY110100</t>
  </si>
  <si>
    <t>Salqin</t>
  </si>
  <si>
    <t>SY070302</t>
  </si>
  <si>
    <t>Ash-Shajara</t>
  </si>
  <si>
    <t>SY120003</t>
  </si>
  <si>
    <t>Raju</t>
  </si>
  <si>
    <t>SY020303</t>
  </si>
  <si>
    <t>Sahnaya</t>
  </si>
  <si>
    <t>SY030901</t>
  </si>
  <si>
    <t>Sur</t>
  </si>
  <si>
    <t>SY090106</t>
  </si>
  <si>
    <t>Sharan</t>
  </si>
  <si>
    <t>SY020304</t>
  </si>
  <si>
    <t>SY020300</t>
  </si>
  <si>
    <t>Qourqeena</t>
  </si>
  <si>
    <t>SY070304</t>
  </si>
  <si>
    <t>Mhambal</t>
  </si>
  <si>
    <t>SY070502</t>
  </si>
  <si>
    <t>Qudsiya_x000D_</t>
  </si>
  <si>
    <t>SY030107</t>
  </si>
  <si>
    <t>SY020400</t>
  </si>
  <si>
    <t>Tal Tamer</t>
  </si>
  <si>
    <t>SY080001</t>
  </si>
  <si>
    <t>Atareb</t>
  </si>
  <si>
    <t>SY020001</t>
  </si>
  <si>
    <t>Mare'</t>
  </si>
  <si>
    <t>SY020403</t>
  </si>
  <si>
    <t>Al-Malikeyyeh</t>
  </si>
  <si>
    <t>SY0803</t>
  </si>
  <si>
    <t>Ya'robiyah</t>
  </si>
  <si>
    <t>SY080302</t>
  </si>
  <si>
    <t>Tadaf</t>
  </si>
  <si>
    <t>SY020201</t>
  </si>
  <si>
    <t>SY050100</t>
  </si>
  <si>
    <t>SY080000</t>
  </si>
  <si>
    <t>Tell Salhib</t>
  </si>
  <si>
    <t>SY050201</t>
  </si>
  <si>
    <t>Quneitra</t>
  </si>
  <si>
    <t>SY14</t>
  </si>
  <si>
    <t>SY1400</t>
  </si>
  <si>
    <t>Khan Arnaba</t>
  </si>
  <si>
    <t>SY140001</t>
  </si>
  <si>
    <t>Ath-Thawrah</t>
  </si>
  <si>
    <t>SY1103</t>
  </si>
  <si>
    <t>Mansura</t>
  </si>
  <si>
    <t>SY110301</t>
  </si>
  <si>
    <t>Jalaa</t>
  </si>
  <si>
    <t>SY090202</t>
  </si>
  <si>
    <t>Qarayya</t>
  </si>
  <si>
    <t>SY130201</t>
  </si>
  <si>
    <t>Markada</t>
  </si>
  <si>
    <t>SY080003</t>
  </si>
  <si>
    <t>Jisr-Ash-Shugur</t>
  </si>
  <si>
    <t>SY0704</t>
  </si>
  <si>
    <t>Badama</t>
  </si>
  <si>
    <t>SY070401</t>
  </si>
  <si>
    <t>SY030700</t>
  </si>
  <si>
    <t>Jawadiyah</t>
  </si>
  <si>
    <t>SY080301</t>
  </si>
  <si>
    <t>Suluk</t>
  </si>
  <si>
    <t>SY110201</t>
  </si>
  <si>
    <t>Kisreh</t>
  </si>
  <si>
    <t>SY090101</t>
  </si>
  <si>
    <t>Ghabagheb</t>
  </si>
  <si>
    <t>SY120202</t>
  </si>
  <si>
    <t>Muhasan</t>
  </si>
  <si>
    <t>SY090103</t>
  </si>
  <si>
    <t>Menbij</t>
  </si>
  <si>
    <t>SY0205</t>
  </si>
  <si>
    <t>Abu Qalqal</t>
  </si>
  <si>
    <t>SY020501</t>
  </si>
  <si>
    <t>Babella</t>
  </si>
  <si>
    <t>SY030102</t>
  </si>
  <si>
    <t>SY070400</t>
  </si>
  <si>
    <t>Sabe Byar</t>
  </si>
  <si>
    <t>SY030202</t>
  </si>
  <si>
    <t>Harasta</t>
  </si>
  <si>
    <t>SY030201</t>
  </si>
  <si>
    <t>SY1300</t>
  </si>
  <si>
    <t>SY130000</t>
  </si>
  <si>
    <t>An Nabk</t>
  </si>
  <si>
    <t>SY0306</t>
  </si>
  <si>
    <t>SY030600</t>
  </si>
  <si>
    <t>Teftnaz</t>
  </si>
  <si>
    <t>SY070004</t>
  </si>
  <si>
    <t>Qaryatein</t>
  </si>
  <si>
    <t>SY040106</t>
  </si>
  <si>
    <t>Ein Issa</t>
  </si>
  <si>
    <t>SY110202</t>
  </si>
  <si>
    <t>As-Saan</t>
  </si>
  <si>
    <t>SY050302</t>
  </si>
  <si>
    <t>Qahtaniyyeh</t>
  </si>
  <si>
    <t>SY080203</t>
  </si>
  <si>
    <t>SY070300</t>
  </si>
  <si>
    <t>Jarablus</t>
  </si>
  <si>
    <t>SY0208</t>
  </si>
  <si>
    <t>SY020800</t>
  </si>
  <si>
    <t>Jandairis</t>
  </si>
  <si>
    <t>SY020302</t>
  </si>
  <si>
    <t>Maliha</t>
  </si>
  <si>
    <t>SY030104</t>
  </si>
  <si>
    <t>Sheikh Miskine</t>
  </si>
  <si>
    <t>SY120304</t>
  </si>
  <si>
    <t>At Tall</t>
  </si>
  <si>
    <t>SY0304</t>
  </si>
  <si>
    <t>SY030400</t>
  </si>
  <si>
    <t>Maskana</t>
  </si>
  <si>
    <t>SY020503</t>
  </si>
  <si>
    <t>Sheikh El-Hadid</t>
  </si>
  <si>
    <t>SY020305</t>
  </si>
  <si>
    <t>Haran Al'awameed</t>
  </si>
  <si>
    <t>SY030206</t>
  </si>
  <si>
    <t>Nabul</t>
  </si>
  <si>
    <t>SY020404</t>
  </si>
  <si>
    <t>Amuda</t>
  </si>
  <si>
    <t>SY080202</t>
  </si>
  <si>
    <t>Da'el</t>
  </si>
  <si>
    <t>SY120004</t>
  </si>
  <si>
    <t>Al-Khafsa</t>
  </si>
  <si>
    <t>SY020502</t>
  </si>
  <si>
    <t>Tassil</t>
  </si>
  <si>
    <t>SY120305</t>
  </si>
  <si>
    <t>Aghtrin</t>
  </si>
  <si>
    <t>SY020401</t>
  </si>
  <si>
    <t>SY100000</t>
  </si>
  <si>
    <t>Darbasiyah</t>
  </si>
  <si>
    <t>SY080401</t>
  </si>
  <si>
    <t>Shahba</t>
  </si>
  <si>
    <t>SY1303</t>
  </si>
  <si>
    <t>Shaqa</t>
  </si>
  <si>
    <t>SY130301</t>
  </si>
  <si>
    <t>Jurneyyeh</t>
  </si>
  <si>
    <t>SY110302</t>
  </si>
  <si>
    <t>SY080200</t>
  </si>
  <si>
    <t>A'rima</t>
  </si>
  <si>
    <t>SY020206</t>
  </si>
  <si>
    <t>Ghizlaniyyeh</t>
  </si>
  <si>
    <t>SY030205</t>
  </si>
  <si>
    <t>Sarghaya</t>
  </si>
  <si>
    <t>SY030704</t>
  </si>
  <si>
    <t>SY080300</t>
  </si>
  <si>
    <t>Bennsh</t>
  </si>
  <si>
    <t>SY070002</t>
  </si>
  <si>
    <t>SY130200</t>
  </si>
  <si>
    <t>SY090300</t>
  </si>
  <si>
    <t>Armanaz</t>
  </si>
  <si>
    <t>SY070305</t>
  </si>
  <si>
    <t>Suran</t>
  </si>
  <si>
    <t>SY050101</t>
  </si>
  <si>
    <t>Qatana</t>
  </si>
  <si>
    <t>SY0308</t>
  </si>
  <si>
    <t>SY030800</t>
  </si>
  <si>
    <t>Daret Azza</t>
  </si>
  <si>
    <t>SY020004</t>
  </si>
  <si>
    <t>Madaya</t>
  </si>
  <si>
    <t>SY030703</t>
  </si>
  <si>
    <t>SY020200</t>
  </si>
  <si>
    <t>Mazra'a</t>
  </si>
  <si>
    <t>SY130001</t>
  </si>
  <si>
    <t>Maadan</t>
  </si>
  <si>
    <t>SY110103</t>
  </si>
  <si>
    <t>Thiban</t>
  </si>
  <si>
    <t>SY090301</t>
  </si>
  <si>
    <t>Kisweh</t>
  </si>
  <si>
    <t>SY030101</t>
  </si>
  <si>
    <t>Ariqa</t>
  </si>
  <si>
    <t>SY130302</t>
  </si>
  <si>
    <t>Little Sura</t>
  </si>
  <si>
    <t>SY130303</t>
  </si>
  <si>
    <t>Al Qutayfah</t>
  </si>
  <si>
    <t>SY0303</t>
  </si>
  <si>
    <t>Raheiba</t>
  </si>
  <si>
    <t>SY030303</t>
  </si>
  <si>
    <t>SY070000</t>
  </si>
  <si>
    <t>Ma'loula</t>
  </si>
  <si>
    <t>SY030302</t>
  </si>
  <si>
    <t>Karama</t>
  </si>
  <si>
    <t>SY110102</t>
  </si>
  <si>
    <t>Yabroud</t>
  </si>
  <si>
    <t>SY0305</t>
  </si>
  <si>
    <t>SY030500</t>
  </si>
  <si>
    <t>Sabka</t>
  </si>
  <si>
    <t>SY110101</t>
  </si>
  <si>
    <t>SY130300</t>
  </si>
  <si>
    <t>SY020500</t>
  </si>
  <si>
    <t>Ghandorah</t>
  </si>
  <si>
    <t>SY020801</t>
  </si>
  <si>
    <t>Khasham</t>
  </si>
  <si>
    <t>SY090105</t>
  </si>
  <si>
    <t>SY020405</t>
  </si>
  <si>
    <t>Janudiyeh</t>
  </si>
  <si>
    <t>SY070403</t>
  </si>
  <si>
    <t>SY050200</t>
  </si>
  <si>
    <t>Mashnaf</t>
  </si>
  <si>
    <t>SY130002</t>
  </si>
  <si>
    <t>Arbin</t>
  </si>
  <si>
    <t>SY030106</t>
  </si>
  <si>
    <t>SY050300</t>
  </si>
  <si>
    <t>Rasm Haram El-Imam</t>
  </si>
  <si>
    <t>SY020205</t>
  </si>
  <si>
    <t>SY050500</t>
  </si>
  <si>
    <t>Darkosh</t>
  </si>
  <si>
    <t>SY070402</t>
  </si>
  <si>
    <t>Deir Attiyeh</t>
  </si>
  <si>
    <t>SY030601</t>
  </si>
  <si>
    <t>Tabni</t>
  </si>
  <si>
    <t>SY090104</t>
  </si>
  <si>
    <t>Jirud</t>
  </si>
  <si>
    <t>SY030301</t>
  </si>
  <si>
    <t>Taldu</t>
  </si>
  <si>
    <t>SY040101</t>
  </si>
  <si>
    <t>Al-Thawrah</t>
  </si>
  <si>
    <t>SY110300</t>
  </si>
  <si>
    <t>SY030300</t>
  </si>
  <si>
    <t>Al-Khashniyyeh</t>
  </si>
  <si>
    <t>SY140002</t>
  </si>
  <si>
    <t>Harbanifse</t>
  </si>
  <si>
    <t>SY050102</t>
  </si>
  <si>
    <t>As-Safira</t>
  </si>
  <si>
    <t>SY0207</t>
  </si>
  <si>
    <t>SY020700</t>
  </si>
  <si>
    <t>Sa'sa'</t>
  </si>
  <si>
    <t>SY030802</t>
  </si>
  <si>
    <t>Oj</t>
  </si>
  <si>
    <t>SY050402</t>
  </si>
  <si>
    <t>Basira</t>
  </si>
  <si>
    <t>SY090102</t>
  </si>
  <si>
    <t>Eastern Bari</t>
  </si>
  <si>
    <t>SY050301</t>
  </si>
  <si>
    <t>Ein Halaqim</t>
  </si>
  <si>
    <t>SY050403</t>
  </si>
  <si>
    <t>Hadideh</t>
  </si>
  <si>
    <t>SY040301</t>
  </si>
  <si>
    <t>Jeb Ej-Jarrah</t>
  </si>
  <si>
    <t>SY040601</t>
  </si>
  <si>
    <t>Beit Yashout</t>
  </si>
  <si>
    <t>SY060205</t>
  </si>
  <si>
    <t>Be'r Al-Hulo Al-Wardeyyeh</t>
  </si>
  <si>
    <t>SY080004</t>
  </si>
  <si>
    <t>Sidnaya</t>
  </si>
  <si>
    <t>SY030401</t>
  </si>
  <si>
    <t>Taleen</t>
  </si>
  <si>
    <t>SY100206</t>
  </si>
  <si>
    <t>Hamin</t>
  </si>
  <si>
    <t>SY100402</t>
  </si>
  <si>
    <t>Ein Shaqaq</t>
  </si>
  <si>
    <t>SY060203</t>
  </si>
  <si>
    <t>Dalyeh</t>
  </si>
  <si>
    <t>SY060204</t>
  </si>
  <si>
    <t>Tall Ed-daman</t>
  </si>
  <si>
    <t>SY020002</t>
  </si>
  <si>
    <t>Jneinet Raslan</t>
  </si>
  <si>
    <t>SY100401</t>
  </si>
  <si>
    <t>SY140000</t>
  </si>
  <si>
    <t>Bahlolieh</t>
  </si>
  <si>
    <t>SY060001</t>
  </si>
  <si>
    <t>Rankus</t>
  </si>
  <si>
    <t>SY030402</t>
  </si>
  <si>
    <t>Tawahin</t>
  </si>
  <si>
    <t>SY100604</t>
  </si>
  <si>
    <t>Thibeen</t>
  </si>
  <si>
    <t>SY130203</t>
  </si>
  <si>
    <t>Bait Jan</t>
  </si>
  <si>
    <t>SY030801</t>
  </si>
  <si>
    <t>Sibbeh</t>
  </si>
  <si>
    <t>SY100303</t>
  </si>
  <si>
    <t>Mzair'a</t>
  </si>
  <si>
    <t>SY060304</t>
  </si>
  <si>
    <t>Madiq Castle</t>
  </si>
  <si>
    <t>SY050204</t>
  </si>
  <si>
    <t>Esal El-Ward</t>
  </si>
  <si>
    <t>SY030501</t>
  </si>
  <si>
    <t>Gharyeh</t>
  </si>
  <si>
    <t>SY130202</t>
  </si>
  <si>
    <t>Bariqiyeh</t>
  </si>
  <si>
    <t>SY100302</t>
  </si>
  <si>
    <t>Tamanaah</t>
  </si>
  <si>
    <t>SY070204</t>
  </si>
  <si>
    <t>Haritan</t>
  </si>
  <si>
    <t>SY020003</t>
  </si>
  <si>
    <t>Salanfa</t>
  </si>
  <si>
    <t>SY060301</t>
  </si>
  <si>
    <t>Jobet Berghal</t>
  </si>
  <si>
    <t>SY060403</t>
  </si>
  <si>
    <t>Ein Et-teeneh</t>
  </si>
  <si>
    <t>SY060302</t>
  </si>
  <si>
    <t>Sadad</t>
  </si>
  <si>
    <t>SY040109</t>
  </si>
  <si>
    <t>Harf Elmseitra</t>
  </si>
  <si>
    <t>SY060401</t>
  </si>
  <si>
    <t>Tadmor</t>
  </si>
  <si>
    <t>SY0405</t>
  </si>
  <si>
    <t>Sokhneh</t>
  </si>
  <si>
    <t>SY040501</t>
  </si>
  <si>
    <t>Ziyara</t>
  </si>
  <si>
    <t>SY050202</t>
  </si>
  <si>
    <t>Arwad</t>
  </si>
  <si>
    <t>SY100001</t>
  </si>
  <si>
    <t>Hadher</t>
  </si>
  <si>
    <t>SY020006</t>
  </si>
  <si>
    <t>Oqeirbat</t>
  </si>
  <si>
    <t>SY050304</t>
  </si>
  <si>
    <t>Khan Shaykun</t>
  </si>
  <si>
    <t>SY070201</t>
  </si>
  <si>
    <t>Mahin</t>
  </si>
  <si>
    <t>SY040107</t>
  </si>
  <si>
    <t>Abul Thohur</t>
  </si>
  <si>
    <t>SY070001</t>
  </si>
  <si>
    <t>Banan</t>
  </si>
  <si>
    <t>SY020702</t>
  </si>
  <si>
    <t>SY040500</t>
  </si>
  <si>
    <t>Al Fiq</t>
  </si>
  <si>
    <t>SY1402</t>
  </si>
  <si>
    <t>Fiq</t>
  </si>
  <si>
    <t>SY140200</t>
  </si>
  <si>
    <t>Kasab</t>
  </si>
  <si>
    <t>SY060005</t>
  </si>
  <si>
    <t>Zarbah</t>
  </si>
  <si>
    <t>SY020005</t>
  </si>
  <si>
    <t>Kansaba</t>
  </si>
  <si>
    <t>SY060303</t>
  </si>
  <si>
    <t>Saraqab</t>
  </si>
  <si>
    <t>SY070003</t>
  </si>
  <si>
    <t>Heish</t>
  </si>
  <si>
    <t>SY070205</t>
  </si>
  <si>
    <t>Ma'arrat An Nu'man</t>
  </si>
  <si>
    <t>SY070200</t>
  </si>
  <si>
    <t>Kafr Zeita</t>
  </si>
  <si>
    <t>SY050501</t>
  </si>
  <si>
    <t>Hajeb</t>
  </si>
  <si>
    <t>SY020703</t>
  </si>
  <si>
    <t>Kafr Nobol</t>
  </si>
  <si>
    <t>SY070203</t>
  </si>
  <si>
    <t>Hajar Aswad</t>
  </si>
  <si>
    <t>SY030902</t>
  </si>
  <si>
    <t>Rabee'a</t>
  </si>
  <si>
    <t>SY060002</t>
  </si>
  <si>
    <t>Khanaser</t>
  </si>
  <si>
    <t>SY020701</t>
  </si>
  <si>
    <t>Population_S1</t>
  </si>
  <si>
    <t>Population_S2</t>
  </si>
  <si>
    <t>Population_S3</t>
  </si>
  <si>
    <t>Population_S4</t>
  </si>
  <si>
    <t>Population_S5</t>
  </si>
  <si>
    <t>2023 HNO Inter-sector Severity</t>
  </si>
  <si>
    <t>2023 HNO Inter-sector People in need</t>
  </si>
  <si>
    <t>admin1Name_ar</t>
  </si>
  <si>
    <t>admin3Name_ar</t>
  </si>
  <si>
    <t>admin3RefName_en</t>
  </si>
  <si>
    <t>Health_PIN</t>
  </si>
  <si>
    <t>CCCM_PIN</t>
  </si>
  <si>
    <t>ERL_PIN</t>
  </si>
  <si>
    <t>NFI_PIN</t>
  </si>
  <si>
    <t>Nutrition_PIN</t>
  </si>
  <si>
    <t>Education_PIN</t>
  </si>
  <si>
    <t>Shelter_PIN</t>
  </si>
  <si>
    <t>WASH_PIN</t>
  </si>
  <si>
    <t>WASH_acute_PIN</t>
  </si>
  <si>
    <t>Protection_PIN</t>
  </si>
  <si>
    <t>Protection_CP_PIN</t>
  </si>
  <si>
    <t>Protection_GBV_PIN</t>
  </si>
  <si>
    <t>Protection_MA_PIN</t>
  </si>
  <si>
    <t>Shelter_Severity</t>
  </si>
  <si>
    <t>Education_Severity</t>
  </si>
  <si>
    <t>Nutrition_Severity</t>
  </si>
  <si>
    <t>NFI_Severity</t>
  </si>
  <si>
    <t>ERL_Severity</t>
  </si>
  <si>
    <t>Health_Severity</t>
  </si>
  <si>
    <t>Protection_Severity</t>
  </si>
  <si>
    <t>Protection_CP_Severity</t>
  </si>
  <si>
    <t>Protection_GBV_Severity</t>
  </si>
  <si>
    <t>Protection_MA_Severity</t>
  </si>
  <si>
    <t>CCCM_Severity</t>
  </si>
  <si>
    <t>WASH_Severity</t>
  </si>
  <si>
    <t>حمص</t>
  </si>
  <si>
    <t>شين</t>
  </si>
  <si>
    <t/>
  </si>
  <si>
    <t>صدد</t>
  </si>
  <si>
    <t>طرطوس</t>
  </si>
  <si>
    <t>الطواحين</t>
  </si>
  <si>
    <t>خربة تين نور</t>
  </si>
  <si>
    <t>الحميدية</t>
  </si>
  <si>
    <t>الحواش</t>
  </si>
  <si>
    <t>الرقاما</t>
  </si>
  <si>
    <t>اللاذقية</t>
  </si>
  <si>
    <t>دالية</t>
  </si>
  <si>
    <t>جب الجراح</t>
  </si>
  <si>
    <t>بيت ياشوط</t>
  </si>
  <si>
    <t>ريف دمشق</t>
  </si>
  <si>
    <t>معلولا</t>
  </si>
  <si>
    <t>Maloula</t>
  </si>
  <si>
    <t>المخرم</t>
  </si>
  <si>
    <t>حماة</t>
  </si>
  <si>
    <t>مركز مصياف</t>
  </si>
  <si>
    <t>الرقة</t>
  </si>
  <si>
    <t>الكرامة</t>
  </si>
  <si>
    <t>جوبة برغال</t>
  </si>
  <si>
    <t>البارقية</t>
  </si>
  <si>
    <t>سبة</t>
  </si>
  <si>
    <t>مزيرعة</t>
  </si>
  <si>
    <t>Mzaira</t>
  </si>
  <si>
    <t>جنينة رسلان</t>
  </si>
  <si>
    <t>البهلولية</t>
  </si>
  <si>
    <t>حمام واصل</t>
  </si>
  <si>
    <t>عين الشرقية</t>
  </si>
  <si>
    <t>كريمة</t>
  </si>
  <si>
    <t>دوير رسلان</t>
  </si>
  <si>
    <t>خربة المعزة</t>
  </si>
  <si>
    <t>Kherbet Elmaaza</t>
  </si>
  <si>
    <t>العنازة</t>
  </si>
  <si>
    <t>رأس الخشوفة</t>
  </si>
  <si>
    <t>صفصافة</t>
  </si>
  <si>
    <t>السيسنية</t>
  </si>
  <si>
    <t>مركزالحفة</t>
  </si>
  <si>
    <t>القطيلبية</t>
  </si>
  <si>
    <t>حديدة</t>
  </si>
  <si>
    <t>مركز القرداحة</t>
  </si>
  <si>
    <t>مركز دريكيش</t>
  </si>
  <si>
    <t>الناصرة</t>
  </si>
  <si>
    <t>دمشق</t>
  </si>
  <si>
    <t>حلب</t>
  </si>
  <si>
    <t>خناصر</t>
  </si>
  <si>
    <t>إدلب</t>
  </si>
  <si>
    <t>كفر نبل</t>
  </si>
  <si>
    <t>حيش</t>
  </si>
  <si>
    <t>كسب</t>
  </si>
  <si>
    <t>أبو الظهور</t>
  </si>
  <si>
    <t>الحاضر</t>
  </si>
  <si>
    <t>مركز تدمر</t>
  </si>
  <si>
    <t>السخنة</t>
  </si>
  <si>
    <t>عقيربات</t>
  </si>
  <si>
    <t>التمانعة</t>
  </si>
  <si>
    <t>عين التينة</t>
  </si>
  <si>
    <t>أرواد</t>
  </si>
  <si>
    <t>السويداء</t>
  </si>
  <si>
    <t>ذيبين</t>
  </si>
  <si>
    <t>حرف المسيترة</t>
  </si>
  <si>
    <t>القنيطرة</t>
  </si>
  <si>
    <t>مركز القنيطرة</t>
  </si>
  <si>
    <t>صلنفة</t>
  </si>
  <si>
    <t>قلعة المضيق</t>
  </si>
  <si>
    <t>الحسكة</t>
  </si>
  <si>
    <t>بئر الحلو الوردية</t>
  </si>
  <si>
    <t>Ber Al-Hulo Al-Wardeyyeh</t>
  </si>
  <si>
    <t>تالين</t>
  </si>
  <si>
    <t>حمين</t>
  </si>
  <si>
    <t>رنكوس</t>
  </si>
  <si>
    <t>القريا</t>
  </si>
  <si>
    <t>صيدنايا</t>
  </si>
  <si>
    <t>عين شقاق</t>
  </si>
  <si>
    <t>ملح</t>
  </si>
  <si>
    <t>القريتين</t>
  </si>
  <si>
    <t>الروضة</t>
  </si>
  <si>
    <t>عين البيضا</t>
  </si>
  <si>
    <t>سنجار</t>
  </si>
  <si>
    <t>شطحة</t>
  </si>
  <si>
    <t>الديماس</t>
  </si>
  <si>
    <t>شيوخ تحتاني</t>
  </si>
  <si>
    <t>قسطل معاف</t>
  </si>
  <si>
    <t>دير الزور</t>
  </si>
  <si>
    <t>موحسن</t>
  </si>
  <si>
    <t>قمصية</t>
  </si>
  <si>
    <t>تلسلحب</t>
  </si>
  <si>
    <t>هنادي</t>
  </si>
  <si>
    <t>الفاخورة</t>
  </si>
  <si>
    <t>صبورة</t>
  </si>
  <si>
    <t>برمانة المشايخ</t>
  </si>
  <si>
    <t>المزرعة</t>
  </si>
  <si>
    <t>Mazraa</t>
  </si>
  <si>
    <t>مشتى الحلو</t>
  </si>
  <si>
    <t>دير حافر</t>
  </si>
  <si>
    <t>الفرقلس</t>
  </si>
  <si>
    <t>درعا</t>
  </si>
  <si>
    <t>تسيل</t>
  </si>
  <si>
    <t>السبع بيار</t>
  </si>
  <si>
    <t>عين الفيجة</t>
  </si>
  <si>
    <t>معبطلي</t>
  </si>
  <si>
    <t>Mabtali</t>
  </si>
  <si>
    <t>القدموس</t>
  </si>
  <si>
    <t>مركز صلخد</t>
  </si>
  <si>
    <t>الرحيبة</t>
  </si>
  <si>
    <t>الخشنية</t>
  </si>
  <si>
    <t>غندورة</t>
  </si>
  <si>
    <t>الجيزة</t>
  </si>
  <si>
    <t>صوران</t>
  </si>
  <si>
    <t>Suran - Hama</t>
  </si>
  <si>
    <t>مركز الزبداني</t>
  </si>
  <si>
    <t>مركز الشيخ بدر</t>
  </si>
  <si>
    <t>الجرنية</t>
  </si>
  <si>
    <t>الشيخ مسكين</t>
  </si>
  <si>
    <t>جب رملة</t>
  </si>
  <si>
    <t>مركز السقيلبية</t>
  </si>
  <si>
    <t>القبو</t>
  </si>
  <si>
    <t>داعل</t>
  </si>
  <si>
    <t>Dael</t>
  </si>
  <si>
    <t>مركز تل أبيض</t>
  </si>
  <si>
    <t>مركز تلكلخ</t>
  </si>
  <si>
    <t>سودا خوابي</t>
  </si>
  <si>
    <t>الحراك</t>
  </si>
  <si>
    <t>خربة غزالة</t>
  </si>
  <si>
    <t>صرين</t>
  </si>
  <si>
    <t>مركز البوكمال</t>
  </si>
  <si>
    <t>الجانودية</t>
  </si>
  <si>
    <t>مركز الرستن</t>
  </si>
  <si>
    <t>مركز القصير</t>
  </si>
  <si>
    <t>خان أرنبة</t>
  </si>
  <si>
    <t>مركز صافيتا</t>
  </si>
  <si>
    <t>كفر بطنا</t>
  </si>
  <si>
    <t>مركز الثورة</t>
  </si>
  <si>
    <t>مركز الميادين</t>
  </si>
  <si>
    <t>مركز المالكية</t>
  </si>
  <si>
    <t>مركز جرابلس</t>
  </si>
  <si>
    <t>مركز داريا</t>
  </si>
  <si>
    <t>مركز جبلة</t>
  </si>
  <si>
    <t>تلبيسة</t>
  </si>
  <si>
    <t>مركز بانياس</t>
  </si>
  <si>
    <t>الكسوة</t>
  </si>
  <si>
    <t>عشارة</t>
  </si>
  <si>
    <t>مركز السويداء</t>
  </si>
  <si>
    <t>مركز دوما</t>
  </si>
  <si>
    <t>مركز قطنا</t>
  </si>
  <si>
    <t>مركز طرطوس</t>
  </si>
  <si>
    <t>Qudsiya</t>
  </si>
  <si>
    <t>قدسيا</t>
  </si>
  <si>
    <t>مركز القامشلي</t>
  </si>
  <si>
    <t>مركز حمص</t>
  </si>
  <si>
    <t>مركز حماة</t>
  </si>
  <si>
    <t>مركز اللاذقية</t>
  </si>
  <si>
    <t>مركز جبل سمعان</t>
  </si>
  <si>
    <t>ربيعة</t>
  </si>
  <si>
    <t>Rabeea</t>
  </si>
  <si>
    <t>No data</t>
  </si>
  <si>
    <t>الحاجب</t>
  </si>
  <si>
    <t>كفرزيتا</t>
  </si>
  <si>
    <t>مركز معرة النعمان</t>
  </si>
  <si>
    <t>Maarrat An Numan</t>
  </si>
  <si>
    <t>الزربة</t>
  </si>
  <si>
    <t>سراقب</t>
  </si>
  <si>
    <t>كنسبا</t>
  </si>
  <si>
    <t>بنان</t>
  </si>
  <si>
    <t>مركز فيق</t>
  </si>
  <si>
    <t>خان شيخون</t>
  </si>
  <si>
    <t>الزيارة</t>
  </si>
  <si>
    <t>مهين</t>
  </si>
  <si>
    <t>الغارية</t>
  </si>
  <si>
    <t>حريتان</t>
  </si>
  <si>
    <t>عسال الورد</t>
  </si>
  <si>
    <t>بيت جن</t>
  </si>
  <si>
    <t>تل الضمان</t>
  </si>
  <si>
    <t>المسمية</t>
  </si>
  <si>
    <t>الحمراء</t>
  </si>
  <si>
    <t>شيخ الحديد</t>
  </si>
  <si>
    <t>العريقة</t>
  </si>
  <si>
    <t>السعن</t>
  </si>
  <si>
    <t>كرناز</t>
  </si>
  <si>
    <t>المشنف</t>
  </si>
  <si>
    <t>سرغايا</t>
  </si>
  <si>
    <t>كويرس شرقي</t>
  </si>
  <si>
    <t>الصورة الصغيرة</t>
  </si>
  <si>
    <t>مركدة</t>
  </si>
  <si>
    <t>الجلاء</t>
  </si>
  <si>
    <t>سرمين</t>
  </si>
  <si>
    <t>المليحة</t>
  </si>
  <si>
    <t>رسم حرمل الامام</t>
  </si>
  <si>
    <t>تادف</t>
  </si>
  <si>
    <t>شقا</t>
  </si>
  <si>
    <t>عين حلاقيم</t>
  </si>
  <si>
    <t>عربين</t>
  </si>
  <si>
    <t>بري شرقي</t>
  </si>
  <si>
    <t>وادي العيون</t>
  </si>
  <si>
    <t>جوادية</t>
  </si>
  <si>
    <t>يعربية</t>
  </si>
  <si>
    <t>Yarobiyah</t>
  </si>
  <si>
    <t>قحطانية</t>
  </si>
  <si>
    <t>تل حميس</t>
  </si>
  <si>
    <t>جيرود</t>
  </si>
  <si>
    <t>خشام</t>
  </si>
  <si>
    <t>مضايا</t>
  </si>
  <si>
    <t>سوسة</t>
  </si>
  <si>
    <t>بلبل</t>
  </si>
  <si>
    <t>عين النسر</t>
  </si>
  <si>
    <t>كفر تخاريم</t>
  </si>
  <si>
    <t>شدادة</t>
  </si>
  <si>
    <t>جاسم</t>
  </si>
  <si>
    <t>عين عيسى</t>
  </si>
  <si>
    <t>حران العواميد</t>
  </si>
  <si>
    <t>Haran Alawameed</t>
  </si>
  <si>
    <t>سلوك</t>
  </si>
  <si>
    <t>درباسية</t>
  </si>
  <si>
    <t>مركز شهبا</t>
  </si>
  <si>
    <t>بصيرة</t>
  </si>
  <si>
    <t>مسكنة</t>
  </si>
  <si>
    <t>مركز السفيرة</t>
  </si>
  <si>
    <t>المسيفرة</t>
  </si>
  <si>
    <t>مركز محردة</t>
  </si>
  <si>
    <t>الشجرة</t>
  </si>
  <si>
    <t>تل رفعت</t>
  </si>
  <si>
    <t>بصرى الشام</t>
  </si>
  <si>
    <t>العريشة</t>
  </si>
  <si>
    <t>صحنايا</t>
  </si>
  <si>
    <t>مركز يبرود</t>
  </si>
  <si>
    <t>محمبل</t>
  </si>
  <si>
    <t>دير عطية</t>
  </si>
  <si>
    <t>حسياء</t>
  </si>
  <si>
    <t>عوج</t>
  </si>
  <si>
    <t>راجو</t>
  </si>
  <si>
    <t>المنصورة</t>
  </si>
  <si>
    <t>عامودا</t>
  </si>
  <si>
    <t>ذيبان</t>
  </si>
  <si>
    <t>حربنفسه</t>
  </si>
  <si>
    <t>مركز القطيفة</t>
  </si>
  <si>
    <t>شران</t>
  </si>
  <si>
    <t>مركز النبك</t>
  </si>
  <si>
    <t>غباغب</t>
  </si>
  <si>
    <t>أبو قلقل</t>
  </si>
  <si>
    <t>بنش</t>
  </si>
  <si>
    <t>نوى</t>
  </si>
  <si>
    <t>مركز رأس العين</t>
  </si>
  <si>
    <t>مركز ازرع</t>
  </si>
  <si>
    <t>Izra</t>
  </si>
  <si>
    <t>سعسع</t>
  </si>
  <si>
    <t>Sasa</t>
  </si>
  <si>
    <t>دارة عزة</t>
  </si>
  <si>
    <t>تلدو</t>
  </si>
  <si>
    <t>مارع</t>
  </si>
  <si>
    <t>Mare</t>
  </si>
  <si>
    <t>أرمناز</t>
  </si>
  <si>
    <t>الغزلانية</t>
  </si>
  <si>
    <t>التبني</t>
  </si>
  <si>
    <t>مركز عين العرب</t>
  </si>
  <si>
    <t>الخفسة</t>
  </si>
  <si>
    <t>دركوش</t>
  </si>
  <si>
    <t>Suran - Aleppo</t>
  </si>
  <si>
    <t>اخترين</t>
  </si>
  <si>
    <t>قورقينا</t>
  </si>
  <si>
    <t>جنديرس</t>
  </si>
  <si>
    <t>هجين</t>
  </si>
  <si>
    <t>مزيريب</t>
  </si>
  <si>
    <t>كسرة</t>
  </si>
  <si>
    <t>مركز جسر الشغور</t>
  </si>
  <si>
    <t>مركز الصنمين</t>
  </si>
  <si>
    <t>مركز عفرين</t>
  </si>
  <si>
    <t>أتارب</t>
  </si>
  <si>
    <t>مركز درعا</t>
  </si>
  <si>
    <t>Dara</t>
  </si>
  <si>
    <t>مركز الباب</t>
  </si>
  <si>
    <t>حرستا</t>
  </si>
  <si>
    <t>مركز السلمية</t>
  </si>
  <si>
    <t>مركز التل</t>
  </si>
  <si>
    <t>مركز الحسكة</t>
  </si>
  <si>
    <t>مركز اعزاز</t>
  </si>
  <si>
    <t>Azaz</t>
  </si>
  <si>
    <t>مركز إدلب</t>
  </si>
  <si>
    <t>مركز منبج</t>
  </si>
  <si>
    <t>ببيلا</t>
  </si>
  <si>
    <t>مركز الرقة</t>
  </si>
  <si>
    <t>جرمانا</t>
  </si>
  <si>
    <t>دانا</t>
  </si>
  <si>
    <t>الحجر الأسود</t>
  </si>
  <si>
    <t>معدان</t>
  </si>
  <si>
    <t>النشابية</t>
  </si>
  <si>
    <t>تفتناز</t>
  </si>
  <si>
    <t>الراعي</t>
  </si>
  <si>
    <t>Ar-Raee</t>
  </si>
  <si>
    <t>السبخة</t>
  </si>
  <si>
    <t>الضمير</t>
  </si>
  <si>
    <t>احسم</t>
  </si>
  <si>
    <t>صور</t>
  </si>
  <si>
    <t>عريمة</t>
  </si>
  <si>
    <t>Arima</t>
  </si>
  <si>
    <t>نبل</t>
  </si>
  <si>
    <t>تل تمر</t>
  </si>
  <si>
    <t>بداما</t>
  </si>
  <si>
    <t>الهول</t>
  </si>
  <si>
    <t>مركز حارم</t>
  </si>
  <si>
    <t>مركز أريحا</t>
  </si>
  <si>
    <t>سلقين</t>
  </si>
  <si>
    <t>مركز دير الزور</t>
  </si>
  <si>
    <t>معرة تمصرين</t>
  </si>
  <si>
    <t>Masaada</t>
  </si>
  <si>
    <t>مسعدة</t>
  </si>
  <si>
    <t>SY140003</t>
  </si>
  <si>
    <t>Al-Butayhah</t>
  </si>
  <si>
    <t>البطيحة</t>
  </si>
  <si>
    <t>SY140201</t>
  </si>
  <si>
    <t xml:space="preserve">                       -  </t>
  </si>
  <si>
    <t>GoS</t>
  </si>
  <si>
    <t>NES</t>
  </si>
  <si>
    <t>NWS</t>
  </si>
  <si>
    <t>RAATA</t>
  </si>
  <si>
    <t>GoS_pin</t>
  </si>
  <si>
    <t>NES_pin</t>
  </si>
  <si>
    <t>NWS_pin</t>
  </si>
  <si>
    <t>RAATA_pin</t>
  </si>
  <si>
    <t>Tall Refaat_pin</t>
  </si>
  <si>
    <t>Female %</t>
  </si>
  <si>
    <t>Male %</t>
  </si>
  <si>
    <t>Disability % 
(avg.pwd/hh)</t>
  </si>
  <si>
    <t>Single(%)</t>
  </si>
  <si>
    <t>Married(%)</t>
  </si>
  <si>
    <t>Divorced(%)</t>
  </si>
  <si>
    <t>Separated(%)</t>
  </si>
  <si>
    <t>Widow(%)</t>
  </si>
  <si>
    <t>Total% (0-2)</t>
  </si>
  <si>
    <t>Female% (0-2)</t>
  </si>
  <si>
    <t>Male%(0-2)</t>
  </si>
  <si>
    <t>Total%  (3-5)</t>
  </si>
  <si>
    <t>Female%  (3-5)</t>
  </si>
  <si>
    <t>Male% (3-5)</t>
  </si>
  <si>
    <t>Total% (6-8)</t>
  </si>
  <si>
    <t>Female% (6-8)</t>
  </si>
  <si>
    <t>Male%(6-8)</t>
  </si>
  <si>
    <t>Total% (9 - 11)</t>
  </si>
  <si>
    <t>Female% (9 - 11)</t>
  </si>
  <si>
    <t>Male% (9 - 11)</t>
  </si>
  <si>
    <t>Total% (12-14)</t>
  </si>
  <si>
    <t>Female% (12-14)</t>
  </si>
  <si>
    <t>Male%(12-14)</t>
  </si>
  <si>
    <t>Total% (15-17)</t>
  </si>
  <si>
    <t>Female% (15-17)</t>
  </si>
  <si>
    <t>Male%(15-17)</t>
  </si>
  <si>
    <t>Total% (18-19)</t>
  </si>
  <si>
    <t>Female% (18-19)</t>
  </si>
  <si>
    <t>Male%(18-19)</t>
  </si>
  <si>
    <t>Total% (20-24)</t>
  </si>
  <si>
    <t>Female% (20-24)</t>
  </si>
  <si>
    <t>Male% (20-24)</t>
  </si>
  <si>
    <t>Total% (25-29)</t>
  </si>
  <si>
    <t>Female% (25-29)</t>
  </si>
  <si>
    <t>Male% (25-29)</t>
  </si>
  <si>
    <t>Total%   (30-34)</t>
  </si>
  <si>
    <t>Female%   (30-34)</t>
  </si>
  <si>
    <t>Male%  (30-34)</t>
  </si>
  <si>
    <t>Total% (35-39)</t>
  </si>
  <si>
    <t>Female% (35-39)</t>
  </si>
  <si>
    <t>Male% (35-39)</t>
  </si>
  <si>
    <t>Total% (40-44)</t>
  </si>
  <si>
    <t>Female% (40-44)</t>
  </si>
  <si>
    <t>Male%(55-59)</t>
  </si>
  <si>
    <t>Total% (45-49)</t>
  </si>
  <si>
    <t>Female% (45-49)</t>
  </si>
  <si>
    <t>Male% (45-49)</t>
  </si>
  <si>
    <t>Total% (50-54)</t>
  </si>
  <si>
    <t>Female%(50-54)</t>
  </si>
  <si>
    <t>Male% (50-54)</t>
  </si>
  <si>
    <t>Total% (55-59)</t>
  </si>
  <si>
    <t>Female% (55-59)</t>
  </si>
  <si>
    <t>Male% (55-59)</t>
  </si>
  <si>
    <t>Total% (60-64)</t>
  </si>
  <si>
    <t>Female%(60-64)</t>
  </si>
  <si>
    <t>Male%(60-64)</t>
  </si>
  <si>
    <t>Total% (&gt;=65)</t>
  </si>
  <si>
    <t>Female%(&gt;=65)</t>
  </si>
  <si>
    <t>Male% (&gt;=65)</t>
  </si>
  <si>
    <t>Food_PIN</t>
  </si>
  <si>
    <t>Food_Severity</t>
  </si>
  <si>
    <t>Pop Northern Aleppo</t>
  </si>
  <si>
    <t>Pop Afrin District</t>
  </si>
  <si>
    <t>Pop Euphrates Shield</t>
  </si>
  <si>
    <t>Pop Idleb NSAG</t>
  </si>
  <si>
    <t>Perc_pop_Northern_Aleppo</t>
  </si>
  <si>
    <t>Perc_pop_Afrin District</t>
  </si>
  <si>
    <t>Perc_pop_Euphrates Shiled</t>
  </si>
  <si>
    <t>Perc_Pop_Idleb_NSAG</t>
  </si>
  <si>
    <t>total population</t>
  </si>
  <si>
    <t>pin_Northern_Aleppo2</t>
  </si>
  <si>
    <t>pin_Afrin District3</t>
  </si>
  <si>
    <t>pin_Euphrates Shiled4</t>
  </si>
  <si>
    <t>pin_Idleb_NSAG5</t>
  </si>
  <si>
    <t>Female% (0-2)2</t>
  </si>
  <si>
    <t>Male%(0-2)3</t>
  </si>
  <si>
    <t>Total%  (3-5)4</t>
  </si>
  <si>
    <t>Female%  (3-5)5</t>
  </si>
  <si>
    <t>Male% (3-5)6</t>
  </si>
  <si>
    <t>Total% (6-8)7</t>
  </si>
  <si>
    <t>Female% (6-8)8</t>
  </si>
  <si>
    <t>Male%(6-8)9</t>
  </si>
  <si>
    <t>Total% (9 - 11)10</t>
  </si>
  <si>
    <t>Female% (9 - 11)11</t>
  </si>
  <si>
    <t>Male% (9 - 11)12</t>
  </si>
  <si>
    <t>Total% (12-14)13</t>
  </si>
  <si>
    <t>Female% (12-14)14</t>
  </si>
  <si>
    <t>Male%(12-14)15</t>
  </si>
  <si>
    <t>Total% (15-17)16</t>
  </si>
  <si>
    <t>Female% (15-17)17</t>
  </si>
  <si>
    <t>Male%(15-17)18</t>
  </si>
  <si>
    <t>Total% (18-19)19</t>
  </si>
  <si>
    <t>Female% (18-19)20</t>
  </si>
  <si>
    <t>Male%(18-19)21</t>
  </si>
  <si>
    <t>Total% (20-24)22</t>
  </si>
  <si>
    <t>Female% (20-24)23</t>
  </si>
  <si>
    <t>Male% (20-24)24</t>
  </si>
  <si>
    <t>Total% (25-29)25</t>
  </si>
  <si>
    <t>Female% (25-29)26</t>
  </si>
  <si>
    <t>Male% (25-29)27</t>
  </si>
  <si>
    <t>Total%   (30-34)28</t>
  </si>
  <si>
    <t>Female%   (30-34)29</t>
  </si>
  <si>
    <t>Male%  (30-34)30</t>
  </si>
  <si>
    <t>Total% (35-39)31</t>
  </si>
  <si>
    <t>Female% (35-39)32</t>
  </si>
  <si>
    <t>Male% (35-39)33</t>
  </si>
  <si>
    <t>Total% (40-44)34</t>
  </si>
  <si>
    <t>Female% (40-44)35</t>
  </si>
  <si>
    <t>Male%(55-59)36</t>
  </si>
  <si>
    <t>Total% (45-49)37</t>
  </si>
  <si>
    <t>Female% (45-49)38</t>
  </si>
  <si>
    <t>Male% (45-49)39</t>
  </si>
  <si>
    <t>Total% (50-54)40</t>
  </si>
  <si>
    <t>Female%(50-54)41</t>
  </si>
  <si>
    <t>Male% (50-54)42</t>
  </si>
  <si>
    <t>Total% (55-59)43</t>
  </si>
  <si>
    <t>Female% (55-59)44</t>
  </si>
  <si>
    <t>Male% (55-59)45</t>
  </si>
  <si>
    <t>Total% (60-64)46</t>
  </si>
  <si>
    <t>Female%(60-64)47</t>
  </si>
  <si>
    <t>Male%(60-64)48</t>
  </si>
  <si>
    <t>Total% (&gt;=65)49</t>
  </si>
  <si>
    <t>Female%(&gt;=65)50</t>
  </si>
  <si>
    <t>Male% (&gt;=65)51</t>
  </si>
  <si>
    <t>%NWS</t>
  </si>
  <si>
    <t>%RAATA</t>
  </si>
  <si>
    <t>Health_PIN2</t>
  </si>
  <si>
    <t>CCCM_PIN3</t>
  </si>
  <si>
    <t>ERL_PIN4</t>
  </si>
  <si>
    <t>NFI_PIN5</t>
  </si>
  <si>
    <t>Nutrition_PIN6</t>
  </si>
  <si>
    <t>Education_PIN7</t>
  </si>
  <si>
    <t>Shelter_PIN8</t>
  </si>
  <si>
    <t>WASH_PIN9</t>
  </si>
  <si>
    <t>WASH_acute_PIN10</t>
  </si>
  <si>
    <t>Protection_PIN11</t>
  </si>
  <si>
    <t>Food_PIN12</t>
  </si>
  <si>
    <t>Protection_CP_PIN13</t>
  </si>
  <si>
    <t>Protection_GBV_PIN14</t>
  </si>
  <si>
    <t>Protection_MA_PIN15</t>
  </si>
  <si>
    <t>NW_Health_PIN</t>
  </si>
  <si>
    <t>NW_CCCM_PIN</t>
  </si>
  <si>
    <t>NW_ERL_PIN</t>
  </si>
  <si>
    <t>NW_NFI_PIN</t>
  </si>
  <si>
    <t>NW_Nutrition_PIN</t>
  </si>
  <si>
    <t>NW_Education_PIN</t>
  </si>
  <si>
    <t>NW_Shelter_PIN</t>
  </si>
  <si>
    <t>NW_WASH_PIN</t>
  </si>
  <si>
    <t>NW_WASH_acute_PIN</t>
  </si>
  <si>
    <t>NW_Protection_PIN</t>
  </si>
  <si>
    <t>NW_Food_PIN</t>
  </si>
  <si>
    <t>NW_Protection_CP_PIN</t>
  </si>
  <si>
    <t>NW_Protection_GBV_PIN</t>
  </si>
  <si>
    <t>NW_Protection_MA_PIN</t>
  </si>
  <si>
    <t>Female</t>
  </si>
  <si>
    <t>Male</t>
  </si>
  <si>
    <t>Female% (0-2)22</t>
  </si>
  <si>
    <t>tOTAL% (0-2)2</t>
  </si>
  <si>
    <t>AoC</t>
  </si>
  <si>
    <t>NW</t>
  </si>
  <si>
    <t>RATA</t>
  </si>
  <si>
    <t>Pop NW+RATAA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</si>
</sst>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26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center"/>
    </xf>
    <xf numFmtId="9" fontId="0" fillId="0" borderId="0" xfId="2" applyFont="1"/>
    <xf numFmtId="10" fontId="0" fillId="0" borderId="0" xfId="1" applyNumberFormat="1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164" fontId="4" fillId="0" borderId="0" xfId="1" applyNumberFormat="1" applyFont="1" applyAlignment="1">
      <alignment vertical="center"/>
    </xf>
    <xf numFmtId="164" fontId="0" fillId="0" borderId="0" xfId="2" applyNumberFormat="1" applyFont="1"/>
    <xf numFmtId="0" fontId="0" fillId="5" borderId="0" xfId="0" applyFill="1" applyAlignment="1">
      <alignment vertical="center"/>
    </xf>
    <xf numFmtId="164" fontId="0" fillId="5" borderId="0" xfId="1" applyNumberFormat="1" applyFont="1" applyFill="1" applyAlignment="1">
      <alignment vertical="center"/>
    </xf>
    <xf numFmtId="164" fontId="0" fillId="5" borderId="0" xfId="1" applyNumberFormat="1" applyFont="1" applyFill="1"/>
    <xf numFmtId="164" fontId="0" fillId="0" borderId="0" xfId="1" applyNumberFormat="1" applyFont="1" applyAlignment="1">
      <alignment horizontal="left" vertical="center"/>
    </xf>
    <xf numFmtId="0" fontId="0" fillId="6" borderId="0" xfId="0" applyFill="1" applyAlignment="1">
      <alignment vertical="center"/>
    </xf>
    <xf numFmtId="164" fontId="0" fillId="0" borderId="0" xfId="0" applyNumberFormat="1"/>
    <xf numFmtId="164" fontId="0" fillId="6" borderId="0" xfId="1" applyNumberFormat="1" applyFont="1" applyFill="1" applyAlignment="1">
      <alignment vertical="center"/>
    </xf>
    <xf numFmtId="43" fontId="0" fillId="0" borderId="0" xfId="0" applyNumberFormat="1"/>
    <xf numFmtId="164" fontId="0" fillId="5" borderId="0" xfId="1" applyNumberFormat="1" applyFont="1" applyFill="1" applyAlignment="1">
      <alignment horizontal="left" vertical="center"/>
    </xf>
    <xf numFmtId="164" fontId="0" fillId="7" borderId="0" xfId="1" applyNumberFormat="1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left" vertical="center"/>
    </xf>
    <xf numFmtId="164" fontId="0" fillId="9" borderId="0" xfId="1" applyNumberFormat="1" applyFont="1" applyFill="1"/>
    <xf numFmtId="0" fontId="0" fillId="9" borderId="0" xfId="0" applyFill="1" applyAlignment="1">
      <alignment horizontal="left" vertical="center"/>
    </xf>
  </cellXfs>
  <cellStyles count="4">
    <cellStyle name="Comma" xfId="1" builtinId="3"/>
    <cellStyle name="Normal" xfId="0" builtinId="0"/>
    <cellStyle name="Normal 3" xfId="3" xr:uid="{FDEC3088-7B0C-4808-AE96-036D31B3D199}"/>
    <cellStyle name="Percent" xfId="2" builtinId="5"/>
  </cellStyles>
  <dxfs count="197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left" vertical="center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1AD85-E295-4FE6-9686-9DFCC8428AAD}" name="Table1" displayName="Table1" ref="A2:ET272" totalsRowShown="0" headerRowDxfId="196">
  <autoFilter ref="A2:ET272" xr:uid="{6ED1AD85-E295-4FE6-9686-9DFCC8428AAD}">
    <filterColumn colId="6">
      <customFilters>
        <customFilter operator="notEqual" val=" "/>
      </customFilters>
    </filterColumn>
  </autoFilter>
  <tableColumns count="150">
    <tableColumn id="1" xr3:uid="{9F576B30-F7A8-445B-8F25-E25C2E7FCDAE}" name="admin1Name_en"/>
    <tableColumn id="2" xr3:uid="{9ECDBDBD-C489-4229-AC8D-8A9353A45291}" name="admin1Pcode"/>
    <tableColumn id="3" xr3:uid="{F7C98790-4294-4E44-9075-C8F58E1C549C}" name="admin2Name_en"/>
    <tableColumn id="4" xr3:uid="{BF5D4DDB-EF49-4188-A02C-82F3DB077D41}" name="admin2Pcode"/>
    <tableColumn id="5" xr3:uid="{397FD7B8-D128-4C3C-81E7-5384BC3934C3}" name="admin3Name_en"/>
    <tableColumn id="6" xr3:uid="{FD397C21-DB7E-4A9D-B45C-A2ACA9B51025}" name="admin3Pcode"/>
    <tableColumn id="92" xr3:uid="{F421FA5B-9B5F-444D-8855-D65257D71622}" name="AoC" dataDxfId="195"/>
    <tableColumn id="7" xr3:uid="{9B03788C-E102-48DF-B64B-3B30682D7F8C}" name="2023 HNO Inter-sector Severity"/>
    <tableColumn id="13" xr3:uid="{D3C690C2-FAD5-4E84-A775-998297A4E7C6}" name="Population_S1" dataDxfId="194" dataCellStyle="Comma"/>
    <tableColumn id="12" xr3:uid="{D5770BFF-8794-4E7D-99E6-995665A7D33B}" name="Population_S2" dataDxfId="193" dataCellStyle="Comma"/>
    <tableColumn id="11" xr3:uid="{D7708F5B-D52A-450F-B971-419D60D1B808}" name="Population_S3" dataDxfId="192" dataCellStyle="Comma"/>
    <tableColumn id="10" xr3:uid="{E4B9902C-BCC6-47D8-9753-EA76BBE1778C}" name="Population_S4" dataDxfId="191" dataCellStyle="Comma"/>
    <tableColumn id="9" xr3:uid="{915ADC3E-0912-434F-84CE-28C6859CB402}" name="Population_S5" dataDxfId="190" dataCellStyle="Comma"/>
    <tableColumn id="8" xr3:uid="{C3DC4979-E67A-4342-AAB2-308762DDD77B}" name="2023 HNO Inter-sector People in need" dataDxfId="189" dataCellStyle="Comma"/>
    <tableColumn id="14" xr3:uid="{65BC4ADC-1FB6-4C55-BA19-413F0C151B11}" name="GoS" dataCellStyle="Percent"/>
    <tableColumn id="15" xr3:uid="{F6109E05-768B-41ED-A4EB-C003C7FF1CC0}" name="NES" dataCellStyle="Percent"/>
    <tableColumn id="16" xr3:uid="{E5EF5530-EFB9-4034-A7B4-749DF28D8A60}" name="NWS" dataCellStyle="Percent"/>
    <tableColumn id="17" xr3:uid="{D4606F02-E15E-4663-BCA1-47305ABB1E30}" name="RAATA" dataCellStyle="Percent"/>
    <tableColumn id="18" xr3:uid="{3DD35571-AF89-41E6-B869-40EEC55A3A83}" name="Tall Refaat" dataCellStyle="Percent"/>
    <tableColumn id="93" xr3:uid="{433F57A8-F2EC-4F2D-ABCC-5BC3FCB9FB4E}" name="total population" dataDxfId="188" dataCellStyle="Comma"/>
    <tableColumn id="26" xr3:uid="{30A8FC6A-5AC2-4160-AB90-57DA803672EA}" name="Pop NW+RATAA" dataDxfId="187" dataCellStyle="Comma"/>
    <tableColumn id="88" xr3:uid="{20AD0966-9B15-4B20-B834-8B4D8F1D93C1}" name="Pop Northern Aleppo" dataDxfId="186" dataCellStyle="Percent">
      <calculatedColumnFormula>Table1[[#This Row],[Pop NW+RATAA]]*Table1[[#This Row],[Perc_pop_Northern_Aleppo]]</calculatedColumnFormula>
    </tableColumn>
    <tableColumn id="89" xr3:uid="{33E4605F-CB3E-434B-A109-F907D332D944}" name="Pop Afrin District" dataDxfId="185" dataCellStyle="Percent">
      <calculatedColumnFormula>Table1[[#This Row],[Pop NW+RATAA]]*Table1[[#This Row],[Perc_pop_Afrin District]]</calculatedColumnFormula>
    </tableColumn>
    <tableColumn id="90" xr3:uid="{3B36CF04-D911-43FA-A2DE-E2CEC118245F}" name="Pop Euphrates Shield" dataDxfId="184" dataCellStyle="Percent">
      <calculatedColumnFormula>Table1[[#This Row],[Pop NW+RATAA]]*Table1[[#This Row],[Perc_pop_Euphrates Shiled]]</calculatedColumnFormula>
    </tableColumn>
    <tableColumn id="91" xr3:uid="{099BFDFA-B817-45BF-BAA5-1CB8E6232ECB}" name="Pop Idleb NSAG" dataDxfId="183" dataCellStyle="Percent">
      <calculatedColumnFormula>Table1[[#This Row],[Pop NW+RATAA]]*Table1[[#This Row],[Perc_Pop_Idleb_NSAG]]</calculatedColumnFormula>
    </tableColumn>
    <tableColumn id="27" xr3:uid="{5E3EA98E-16ED-4206-89FB-B27E4E08CA71}" name="Perc_pop_Northern_Aleppo" dataDxfId="182" dataCellStyle="Percent"/>
    <tableColumn id="29" xr3:uid="{B243F952-F26B-42A9-BAA6-39356295FE13}" name="Perc_pop_Afrin District" dataDxfId="181" dataCellStyle="Percent"/>
    <tableColumn id="86" xr3:uid="{A14C13F3-4098-4EFC-8C96-EA21A63F5AD7}" name="Perc_pop_Euphrates Shiled" dataDxfId="180" dataCellStyle="Percent"/>
    <tableColumn id="87" xr3:uid="{8992AB6C-9EA7-4B82-9789-CFB8B37B4802}" name="Perc_Pop_Idleb_NSAG" dataDxfId="179" dataCellStyle="Percent"/>
    <tableColumn id="19" xr3:uid="{40446E1C-01B8-4849-AD1C-D133C5080694}" name="GoS_pin" dataDxfId="178" dataCellStyle="Comma"/>
    <tableColumn id="20" xr3:uid="{7E654446-4C7A-494C-94F2-C5933FE73B60}" name="NES_pin" dataDxfId="177" dataCellStyle="Comma"/>
    <tableColumn id="21" xr3:uid="{265340E5-2D6C-4E49-80A0-71C341B0E915}" name="NWS_pin" dataDxfId="176" dataCellStyle="Comma"/>
    <tableColumn id="22" xr3:uid="{B23533B3-E092-495B-AA55-BE92B8263B28}" name="RAATA_pin" dataDxfId="175" dataCellStyle="Comma"/>
    <tableColumn id="23" xr3:uid="{023221F2-37FD-4959-BB52-AA594FAE2113}" name="Tall Refaat_pin" dataDxfId="174" dataCellStyle="Comma"/>
    <tableColumn id="94" xr3:uid="{B2497AD7-CB4A-4685-8786-6F3FF8B19809}" name="pin_Northern_Aleppo2" dataDxfId="173" dataCellStyle="Comma">
      <calculatedColumnFormula>Table1[[#This Row],[NWS_pin]]*Table1[[#This Row],[Perc_pop_Northern_Aleppo]]</calculatedColumnFormula>
    </tableColumn>
    <tableColumn id="95" xr3:uid="{F306BBBB-C78F-4898-B23A-FEA72D0E555A}" name="pin_Afrin District3" dataDxfId="172" dataCellStyle="Comma">
      <calculatedColumnFormula>Table1[[#This Row],[NWS_pin]]*Table1[[#This Row],[Perc_pop_Afrin District]]</calculatedColumnFormula>
    </tableColumn>
    <tableColumn id="96" xr3:uid="{1E577998-93DB-4CA8-AF1E-5C1F581E32E6}" name="pin_Euphrates Shiled4" dataDxfId="171" dataCellStyle="Comma">
      <calculatedColumnFormula>Table1[[#This Row],[NWS_pin]]*Table1[[#This Row],[Perc_pop_Euphrates Shiled]]</calculatedColumnFormula>
    </tableColumn>
    <tableColumn id="97" xr3:uid="{7CDB6B0B-8060-4420-BAA4-B947BF637ADC}" name="pin_Idleb_NSAG5" dataDxfId="170" dataCellStyle="Comma">
      <calculatedColumnFormula>Table1[[#This Row],[NWS_pin]]*Table1[[#This Row],[Perc_Pop_Idleb_NSAG]]</calculatedColumnFormula>
    </tableColumn>
    <tableColumn id="24" xr3:uid="{27220C31-6C9D-48A6-8252-76BE4BA069DB}" name="Female %" dataDxfId="169" dataCellStyle="Comma"/>
    <tableColumn id="25" xr3:uid="{60AE0DD9-ACE2-4E51-891D-518E8EA57479}" name="Male %" dataDxfId="168" dataCellStyle="Comma"/>
    <tableColumn id="28" xr3:uid="{C13649AB-7E80-46D2-9546-920ED1642441}" name="Disability % _x000a_(avg.pwd/hh)" dataDxfId="167" dataCellStyle="Comma"/>
    <tableColumn id="30" xr3:uid="{3122D623-1C14-4962-B764-02FD31A1534E}" name="Single(%)" dataDxfId="166" dataCellStyle="Comma"/>
    <tableColumn id="31" xr3:uid="{C96CA8D0-8D71-4366-ACC5-968168FB928A}" name="Married(%)" dataDxfId="165" dataCellStyle="Comma"/>
    <tableColumn id="32" xr3:uid="{12261C80-7FE6-4609-A39E-179C0809BEED}" name="Divorced(%)" dataDxfId="164" dataCellStyle="Comma"/>
    <tableColumn id="33" xr3:uid="{A25D7494-6EAF-4C92-A7B0-BFF602274798}" name="Separated(%)" dataDxfId="163" dataCellStyle="Comma"/>
    <tableColumn id="34" xr3:uid="{670CB556-6C95-4D29-B9D6-916FC11AB0C6}" name="Widow(%)" dataDxfId="162" dataCellStyle="Comma"/>
    <tableColumn id="35" xr3:uid="{E6AEFECB-43E5-48C8-8D7B-DE366E9E4D3D}" name="Total% (0-2)" dataDxfId="161" dataCellStyle="Comma"/>
    <tableColumn id="36" xr3:uid="{5D00B0EB-2989-42A0-87E1-F4211F93003E}" name="Female% (0-2)" dataDxfId="160" dataCellStyle="Comma"/>
    <tableColumn id="37" xr3:uid="{659A1F01-995A-4B2B-B9CE-5AD714981320}" name="Male%(0-2)" dataDxfId="159" dataCellStyle="Comma"/>
    <tableColumn id="38" xr3:uid="{E45DE01E-FD3A-435B-8F45-D775E59A7EBA}" name="Total%  (3-5)" dataDxfId="158" dataCellStyle="Comma"/>
    <tableColumn id="39" xr3:uid="{15240F64-86B6-4A27-B785-377A83EDE261}" name="Female%  (3-5)" dataDxfId="157" dataCellStyle="Comma"/>
    <tableColumn id="40" xr3:uid="{187C6BBD-3E89-44AF-86F7-14C8246C30A8}" name="Male% (3-5)" dataDxfId="156" dataCellStyle="Comma"/>
    <tableColumn id="41" xr3:uid="{C51414EF-17D3-499F-AB12-84D69284F529}" name="Total% (6-8)" dataDxfId="155" dataCellStyle="Comma"/>
    <tableColumn id="42" xr3:uid="{8B92BBBD-F963-46B2-A219-BAFD464BDAAB}" name="Female% (6-8)" dataDxfId="154" dataCellStyle="Comma"/>
    <tableColumn id="43" xr3:uid="{E981A712-E19D-4DEC-ACC2-BDD2D29950EE}" name="Male%(6-8)" dataDxfId="153" dataCellStyle="Comma"/>
    <tableColumn id="44" xr3:uid="{DA66D42F-A265-45FA-A859-24EB8B8E1A75}" name="Total% (9 - 11)" dataDxfId="152" dataCellStyle="Comma"/>
    <tableColumn id="45" xr3:uid="{8979852F-830E-40C8-9F51-C866CDC91CEE}" name="Female% (9 - 11)" dataDxfId="151" dataCellStyle="Comma"/>
    <tableColumn id="46" xr3:uid="{B4458B3E-A6D4-4FC1-9F7F-18B0D5588164}" name="Male% (9 - 11)" dataDxfId="150" dataCellStyle="Comma"/>
    <tableColumn id="47" xr3:uid="{B14EAD32-C69B-4294-BF39-36BEA20E5C65}" name="Total% (12-14)" dataDxfId="149" dataCellStyle="Comma"/>
    <tableColumn id="48" xr3:uid="{9D6703C5-CACF-4CD2-9D51-CDDED7C87C9A}" name="Female% (12-14)" dataDxfId="148" dataCellStyle="Comma"/>
    <tableColumn id="49" xr3:uid="{0FE25659-5371-491A-8EEE-572D0264CC54}" name="Male%(12-14)" dataDxfId="147" dataCellStyle="Comma"/>
    <tableColumn id="50" xr3:uid="{41909EA1-D7F2-4CA2-BFA3-62F16CCC332B}" name="Total% (15-17)" dataDxfId="146" dataCellStyle="Comma"/>
    <tableColumn id="51" xr3:uid="{A307A89E-E6FB-4B4C-BC82-58D74C730D94}" name="Female% (15-17)" dataDxfId="145" dataCellStyle="Comma"/>
    <tableColumn id="52" xr3:uid="{A85B3BA5-F8E6-4B41-9E0A-DDF54B73F739}" name="Male%(15-17)" dataDxfId="144" dataCellStyle="Comma"/>
    <tableColumn id="53" xr3:uid="{EF33067C-1AC2-4D5C-ACC6-3FB8D111407E}" name="Total% (18-19)" dataDxfId="143" dataCellStyle="Comma"/>
    <tableColumn id="54" xr3:uid="{4E4189E4-1CF8-4F01-A2A6-2DF3D2214479}" name="Female% (18-19)" dataDxfId="142" dataCellStyle="Comma"/>
    <tableColumn id="55" xr3:uid="{F4290F3B-819D-40C5-8034-A0B171A084E1}" name="Male%(18-19)" dataDxfId="141" dataCellStyle="Comma"/>
    <tableColumn id="56" xr3:uid="{76360D82-60C5-4042-B233-0873330062E3}" name="Total% (20-24)" dataDxfId="140" dataCellStyle="Comma"/>
    <tableColumn id="57" xr3:uid="{516D9C4B-B33D-407B-91C8-4EB6F652439A}" name="Female% (20-24)" dataDxfId="139" dataCellStyle="Comma"/>
    <tableColumn id="58" xr3:uid="{8B149AED-E4C8-4991-87C9-3175D7A7FF45}" name="Male% (20-24)" dataDxfId="138" dataCellStyle="Comma"/>
    <tableColumn id="59" xr3:uid="{A1C0EF17-34EB-4EA9-AE1C-F0D2633A90DE}" name="Total% (25-29)" dataDxfId="137" dataCellStyle="Comma"/>
    <tableColumn id="60" xr3:uid="{B6FFC586-C52B-41B1-99D2-BD2BEB489FA3}" name="Female% (25-29)" dataDxfId="136" dataCellStyle="Comma"/>
    <tableColumn id="61" xr3:uid="{4ED8B579-A314-43BF-88E5-01CC0290647A}" name="Male% (25-29)" dataDxfId="135" dataCellStyle="Comma"/>
    <tableColumn id="62" xr3:uid="{B9BC7B3D-CCAD-4C15-8DD1-2A874B2246AB}" name="Total%   (30-34)" dataDxfId="134" dataCellStyle="Comma"/>
    <tableColumn id="63" xr3:uid="{B3143AA0-67DC-475F-9D30-0ECADE129E18}" name="Female%   (30-34)" dataDxfId="133" dataCellStyle="Comma"/>
    <tableColumn id="64" xr3:uid="{7CDE4DB9-73BA-408E-99DF-FD7BBD41CEB3}" name="Male%  (30-34)" dataDxfId="132" dataCellStyle="Comma"/>
    <tableColumn id="65" xr3:uid="{C094B8D4-BAF6-4CED-9489-1C5B6B739D7A}" name="Total% (35-39)" dataDxfId="131" dataCellStyle="Comma"/>
    <tableColumn id="66" xr3:uid="{8377F470-7FF8-4146-BEC5-8262AED526A7}" name="Female% (35-39)" dataDxfId="130" dataCellStyle="Comma"/>
    <tableColumn id="67" xr3:uid="{A6918B46-C5C3-426C-ABC1-1D781F1785C4}" name="Male% (35-39)" dataDxfId="129" dataCellStyle="Comma"/>
    <tableColumn id="68" xr3:uid="{82188383-183E-4E33-803A-D86EDD888403}" name="Total% (40-44)" dataDxfId="128" dataCellStyle="Comma"/>
    <tableColumn id="69" xr3:uid="{DF4B5B31-44B6-4CC7-B770-848B937C8656}" name="Female% (40-44)" dataDxfId="127" dataCellStyle="Comma"/>
    <tableColumn id="70" xr3:uid="{B91D035F-5992-4D53-BE43-FBB31FBC325E}" name="Male%(55-59)" dataDxfId="126" dataCellStyle="Comma"/>
    <tableColumn id="71" xr3:uid="{241F302B-EF1F-40F9-B9E2-33ACB05608A1}" name="Total% (45-49)" dataDxfId="125" dataCellStyle="Comma"/>
    <tableColumn id="72" xr3:uid="{32FCE77D-9F4A-4CFE-A7A6-DAFE1F8845C8}" name="Female% (45-49)" dataDxfId="124" dataCellStyle="Comma"/>
    <tableColumn id="73" xr3:uid="{7F216471-C530-4136-A1AB-465ED02AAB08}" name="Male% (45-49)" dataDxfId="123" dataCellStyle="Comma"/>
    <tableColumn id="74" xr3:uid="{A6273A91-B7A2-4526-8F9D-DFFC50C26669}" name="Total% (50-54)" dataDxfId="122" dataCellStyle="Comma"/>
    <tableColumn id="75" xr3:uid="{3DB589C0-88C3-46BC-89FE-38D62F1701A7}" name="Female%(50-54)" dataDxfId="121" dataCellStyle="Comma"/>
    <tableColumn id="76" xr3:uid="{5B866DBC-0389-4731-B25C-01D8779D73E6}" name="Male% (50-54)" dataDxfId="120" dataCellStyle="Comma"/>
    <tableColumn id="77" xr3:uid="{AA4850C6-E299-440D-9859-5646821E1CB0}" name="Total% (55-59)" dataDxfId="119" dataCellStyle="Comma"/>
    <tableColumn id="78" xr3:uid="{496D3F1E-BE0E-430F-A8D4-E108AD8BD256}" name="Female% (55-59)" dataDxfId="118" dataCellStyle="Comma"/>
    <tableColumn id="79" xr3:uid="{F0CCEE95-396F-48CC-BF81-A50A930723D4}" name="Male% (55-59)" dataDxfId="117" dataCellStyle="Comma"/>
    <tableColumn id="80" xr3:uid="{C39AACF8-2529-4DEE-A3E1-AB890C181F51}" name="Total% (60-64)" dataDxfId="116" dataCellStyle="Comma"/>
    <tableColumn id="81" xr3:uid="{01AB1E07-B052-40B2-858C-62248003A4D8}" name="Female%(60-64)" dataDxfId="115" dataCellStyle="Comma"/>
    <tableColumn id="82" xr3:uid="{D0EEF52E-D72D-4C67-8709-8ADEB56A5504}" name="Male%(60-64)" dataDxfId="114" dataCellStyle="Comma"/>
    <tableColumn id="83" xr3:uid="{F7A53980-14A0-4C86-AD0C-063A789ED433}" name="Total% (&gt;=65)" dataDxfId="113" dataCellStyle="Comma"/>
    <tableColumn id="84" xr3:uid="{249AC6E1-5AE3-4F49-8AB0-9697D5D6DEBF}" name="Female%(&gt;=65)" dataDxfId="112" dataCellStyle="Comma"/>
    <tableColumn id="85" xr3:uid="{C0585589-5957-4060-AEA6-00AB586CF6AE}" name="Male% (&gt;=65)" dataDxfId="111" dataCellStyle="Comma"/>
    <tableColumn id="148" xr3:uid="{F49D4378-F322-43C2-95E2-640DB9320338}" name="Female" dataDxfId="110" dataCellStyle="Comma">
      <calculatedColumnFormula>Table1[[#This Row],[Female %]]*Table1[[#This Row],[NWS_pin]]</calculatedColumnFormula>
    </tableColumn>
    <tableColumn id="149" xr3:uid="{6D871DB6-C4E3-4638-B150-86E985EA4347}" name="Male" dataDxfId="109" dataCellStyle="Comma">
      <calculatedColumnFormula>Table1[[#This Row],[Male %]]*Table1[[#This Row],[NWS_pin]]</calculatedColumnFormula>
    </tableColumn>
    <tableColumn id="151" xr3:uid="{D7BD72FA-60BD-48DA-9FE4-5F69AEE2FB6B}" name="tOTAL% (0-2)2" dataDxfId="108" dataCellStyle="Comma">
      <calculatedColumnFormula>Table1[[#This Row],[Female% (0-2)22]]+Table1[[#This Row],[Male%(0-2)3]]</calculatedColumnFormula>
    </tableColumn>
    <tableColumn id="98" xr3:uid="{A039F634-11CD-4A83-B458-494FC2C89D1A}" name="Female% (0-2)22" dataDxfId="107" dataCellStyle="Comma">
      <calculatedColumnFormula>$CT3*Table1[[#This Row],[Female% (0-2)]]</calculatedColumnFormula>
    </tableColumn>
    <tableColumn id="99" xr3:uid="{D9CB8DCC-7232-4289-BD69-F4816B22C646}" name="Male%(0-2)3" dataDxfId="106" dataCellStyle="Comma">
      <calculatedColumnFormula>$CU3*Table1[[#This Row],[Male%(0-2)]]</calculatedColumnFormula>
    </tableColumn>
    <tableColumn id="100" xr3:uid="{D78B96A1-B378-44CE-B9D1-8AAF408B723F}" name="Total%  (3-5)4" dataDxfId="105" dataCellStyle="Comma">
      <calculatedColumnFormula>Table1[[#This Row],[Female%  (3-5)5]]+Table1[[#This Row],[Male% (3-5)6]]</calculatedColumnFormula>
    </tableColumn>
    <tableColumn id="101" xr3:uid="{53B9D8A6-DAA5-4271-8A65-D0FD6773F141}" name="Female%  (3-5)5" dataDxfId="104" dataCellStyle="Comma">
      <calculatedColumnFormula>$AF3*Table1[[#This Row],[Female%  (3-5)]]</calculatedColumnFormula>
    </tableColumn>
    <tableColumn id="102" xr3:uid="{03DA59C8-8764-4FD9-918A-8C0F52CE823A}" name="Male% (3-5)6" dataDxfId="103" dataCellStyle="Comma">
      <calculatedColumnFormula>$CU3*Table1[[#This Row],[Male% (3-5)]]</calculatedColumnFormula>
    </tableColumn>
    <tableColumn id="103" xr3:uid="{8B640AD1-C4AC-4D86-B199-5A95E0A69B3A}" name="Total% (6-8)7" dataDxfId="102" dataCellStyle="Comma">
      <calculatedColumnFormula>Table1[[#This Row],[Female% (6-8)8]]+Table1[[#This Row],[Male%(6-8)9]]</calculatedColumnFormula>
    </tableColumn>
    <tableColumn id="104" xr3:uid="{221A23AC-5514-4C6A-8931-FE350C5E103A}" name="Female% (6-8)8" dataDxfId="101" dataCellStyle="Comma">
      <calculatedColumnFormula>$CT3*Table1[[#This Row],[Female% (6-8)]]</calculatedColumnFormula>
    </tableColumn>
    <tableColumn id="105" xr3:uid="{EC1E02B7-92D0-420E-AE35-6F0D680477E7}" name="Male%(6-8)9" dataDxfId="100" dataCellStyle="Comma">
      <calculatedColumnFormula>$CU3*Table1[[#This Row],[Male%(6-8)]]</calculatedColumnFormula>
    </tableColumn>
    <tableColumn id="106" xr3:uid="{CF354676-33A4-49D7-BA5E-3A0741A5A74F}" name="Total% (9 - 11)10" dataDxfId="99" dataCellStyle="Comma">
      <calculatedColumnFormula>Table1[[#This Row],[Female% (9 - 11)11]]+Table1[[#This Row],[Male% (9 - 11)12]]</calculatedColumnFormula>
    </tableColumn>
    <tableColumn id="107" xr3:uid="{D66DDACE-5244-4F26-9EAE-936471C0204D}" name="Female% (9 - 11)11" dataDxfId="98" dataCellStyle="Comma">
      <calculatedColumnFormula>$CT3*Table1[[#This Row],[Female% (9 - 11)]]</calculatedColumnFormula>
    </tableColumn>
    <tableColumn id="108" xr3:uid="{842AB386-4837-4E0D-B878-3F576E42C953}" name="Male% (9 - 11)12" dataDxfId="97" dataCellStyle="Comma">
      <calculatedColumnFormula>$CU3*Table1[[#This Row],[Male% (9 - 11)]]</calculatedColumnFormula>
    </tableColumn>
    <tableColumn id="109" xr3:uid="{0147C75E-D38A-4D8F-94BD-80DACDFE0BAC}" name="Total% (12-14)13" dataDxfId="96" dataCellStyle="Comma">
      <calculatedColumnFormula>Table1[[#This Row],[Female% (12-14)14]]+Table1[[#This Row],[Male%(12-14)15]]</calculatedColumnFormula>
    </tableColumn>
    <tableColumn id="110" xr3:uid="{EA46A794-E5E8-47FE-8EF2-07123C512ACC}" name="Female% (12-14)14" dataDxfId="95" dataCellStyle="Comma">
      <calculatedColumnFormula>$CT3*Table1[[#This Row],[Female% (12-14)]]</calculatedColumnFormula>
    </tableColumn>
    <tableColumn id="111" xr3:uid="{104FC3AF-4816-4F99-8B8C-29184163ECDF}" name="Male%(12-14)15" dataDxfId="94" dataCellStyle="Comma">
      <calculatedColumnFormula>$CU3*Table1[[#This Row],[Male%(12-14)]]</calculatedColumnFormula>
    </tableColumn>
    <tableColumn id="112" xr3:uid="{1697EC94-429D-410B-922C-346650C4A834}" name="Total% (15-17)16" dataDxfId="93" dataCellStyle="Comma">
      <calculatedColumnFormula>Table1[[#This Row],[Female% (15-17)17]]+Table1[[#This Row],[Male%(15-17)18]]</calculatedColumnFormula>
    </tableColumn>
    <tableColumn id="113" xr3:uid="{A62756AE-4E28-45D3-862C-2E9317F328F0}" name="Female% (15-17)17" dataDxfId="92" dataCellStyle="Comma">
      <calculatedColumnFormula>$CT3*Table1[[#This Row],[Female% (15-17)]]</calculatedColumnFormula>
    </tableColumn>
    <tableColumn id="114" xr3:uid="{B621FD77-E1C9-4F5F-B083-E61925BC6047}" name="Male%(15-17)18" dataDxfId="91" dataCellStyle="Comma">
      <calculatedColumnFormula>$CU3*Table1[[#This Row],[Male%(15-17)]]</calculatedColumnFormula>
    </tableColumn>
    <tableColumn id="115" xr3:uid="{79D1B03C-EB5D-44AF-91E4-A5BFA987C52B}" name="Total% (18-19)19" dataDxfId="90" dataCellStyle="Comma">
      <calculatedColumnFormula>$AF3*Table1[[#This Row],[Total% (18-19)]]</calculatedColumnFormula>
    </tableColumn>
    <tableColumn id="116" xr3:uid="{26A87ADE-95D8-4EA3-A57C-B5B90FCD050D}" name="Female% (18-19)20" dataDxfId="89" dataCellStyle="Comma">
      <calculatedColumnFormula>$CT3*Table1[[#This Row],[Female% (18-19)]]</calculatedColumnFormula>
    </tableColumn>
    <tableColumn id="117" xr3:uid="{50B014A4-4224-41F0-9EE5-9043DE567C5F}" name="Male%(18-19)21" dataDxfId="88" dataCellStyle="Comma">
      <calculatedColumnFormula>$CU3*Table1[[#This Row],[Male%(18-19)]]</calculatedColumnFormula>
    </tableColumn>
    <tableColumn id="118" xr3:uid="{A0B0425F-35FE-469B-9523-845488898126}" name="Total% (20-24)22" dataDxfId="87" dataCellStyle="Comma">
      <calculatedColumnFormula>$AF3*Table1[[#This Row],[Total% (20-24)]]</calculatedColumnFormula>
    </tableColumn>
    <tableColumn id="119" xr3:uid="{FC799521-943C-41C5-A993-4626D14CD9A9}" name="Female% (20-24)23" dataDxfId="86" dataCellStyle="Comma">
      <calculatedColumnFormula>$CT3*Table1[[#This Row],[Female% (20-24)]]</calculatedColumnFormula>
    </tableColumn>
    <tableColumn id="120" xr3:uid="{C069CDCC-FFD9-48C0-998C-69ED3BD42A81}" name="Male% (20-24)24" dataDxfId="85" dataCellStyle="Comma">
      <calculatedColumnFormula>$CU3*Table1[[#This Row],[Male% (20-24)]]</calculatedColumnFormula>
    </tableColumn>
    <tableColumn id="121" xr3:uid="{91A7A822-3F18-47AD-9406-C4C1EA748DF7}" name="Total% (25-29)25" dataDxfId="84" dataCellStyle="Comma">
      <calculatedColumnFormula>$AF3*Table1[[#This Row],[Total% (25-29)]]</calculatedColumnFormula>
    </tableColumn>
    <tableColumn id="122" xr3:uid="{C6CC9E4C-3210-4713-8509-88D9033AAB2C}" name="Female% (25-29)26" dataDxfId="83" dataCellStyle="Comma">
      <calculatedColumnFormula>$CT3*Table1[[#This Row],[Female% (25-29)]]</calculatedColumnFormula>
    </tableColumn>
    <tableColumn id="123" xr3:uid="{B08620AC-2660-416A-9C17-B4A8A94E8332}" name="Male% (25-29)27" dataDxfId="82" dataCellStyle="Comma">
      <calculatedColumnFormula>$CU3*Table1[[#This Row],[Male% (25-29)]]</calculatedColumnFormula>
    </tableColumn>
    <tableColumn id="124" xr3:uid="{BB7DB845-5B07-4A84-B7A9-06D97321CE1C}" name="Total%   (30-34)28" dataDxfId="81" dataCellStyle="Comma">
      <calculatedColumnFormula>$AF3*Table1[[#This Row],[Total%   (30-34)]]</calculatedColumnFormula>
    </tableColumn>
    <tableColumn id="125" xr3:uid="{DE9170BA-7AF3-4B6A-A057-EA0C863610C1}" name="Female%   (30-34)29" dataDxfId="80" dataCellStyle="Comma">
      <calculatedColumnFormula>$CT3*Table1[[#This Row],[Female%   (30-34)]]</calculatedColumnFormula>
    </tableColumn>
    <tableColumn id="126" xr3:uid="{6465574E-CEB0-44FF-A635-39EEE948611B}" name="Male%  (30-34)30" dataDxfId="79" dataCellStyle="Comma">
      <calculatedColumnFormula>$CU3*Table1[[#This Row],[Male%  (30-34)]]</calculatedColumnFormula>
    </tableColumn>
    <tableColumn id="127" xr3:uid="{A112C292-61B6-44F0-8D2E-5621EBB6149C}" name="Total% (35-39)31" dataDxfId="78" dataCellStyle="Comma">
      <calculatedColumnFormula>$AF3*Table1[[#This Row],[Total% (35-39)]]</calculatedColumnFormula>
    </tableColumn>
    <tableColumn id="128" xr3:uid="{20F8437B-756E-40DF-B345-ECF391D5E6CC}" name="Female% (35-39)32" dataDxfId="77" dataCellStyle="Comma">
      <calculatedColumnFormula>$CT3*Table1[[#This Row],[Female% (35-39)]]</calculatedColumnFormula>
    </tableColumn>
    <tableColumn id="129" xr3:uid="{D126C8D0-4469-40A9-BC2F-96F9B230DA71}" name="Male% (35-39)33" dataDxfId="76" dataCellStyle="Comma">
      <calculatedColumnFormula>$CU3*Table1[[#This Row],[Male% (35-39)]]</calculatedColumnFormula>
    </tableColumn>
    <tableColumn id="130" xr3:uid="{2CFEB3BE-5899-4858-AEC0-EB42CC7150B7}" name="Total% (40-44)34" dataDxfId="75" dataCellStyle="Comma">
      <calculatedColumnFormula>$AF3*Table1[[#This Row],[Total% (40-44)]]</calculatedColumnFormula>
    </tableColumn>
    <tableColumn id="131" xr3:uid="{4A014D45-30B1-4D7A-9C4B-81BB4B1E957D}" name="Female% (40-44)35" dataDxfId="74" dataCellStyle="Comma">
      <calculatedColumnFormula>$CT3*Table1[[#This Row],[Female% (40-44)]]</calculatedColumnFormula>
    </tableColumn>
    <tableColumn id="132" xr3:uid="{8427A820-60DF-4BFF-8BC3-48EC29941E73}" name="Male%(55-59)36" dataDxfId="73" dataCellStyle="Comma">
      <calculatedColumnFormula>$CU3*Table1[[#This Row],[Male%(55-59)]]</calculatedColumnFormula>
    </tableColumn>
    <tableColumn id="133" xr3:uid="{39787E5F-12A8-47E8-B06A-0F0E01BAD263}" name="Total% (45-49)37" dataDxfId="72" dataCellStyle="Comma">
      <calculatedColumnFormula>$AF3*Table1[[#This Row],[Total% (45-49)]]</calculatedColumnFormula>
    </tableColumn>
    <tableColumn id="134" xr3:uid="{C399D3D9-169A-42F4-8CB8-5139F3EF764E}" name="Female% (45-49)38" dataDxfId="71" dataCellStyle="Comma">
      <calculatedColumnFormula>$CT3*Table1[[#This Row],[Female% (45-49)]]</calculatedColumnFormula>
    </tableColumn>
    <tableColumn id="135" xr3:uid="{B7E9BBAD-1680-4DC2-BBB6-10FBCC3B9DFD}" name="Male% (45-49)39" dataDxfId="70" dataCellStyle="Comma">
      <calculatedColumnFormula>$CU3*Table1[[#This Row],[Male% (45-49)]]</calculatedColumnFormula>
    </tableColumn>
    <tableColumn id="136" xr3:uid="{9AE69B24-65B3-4CE6-B88F-D2D5DB9580CF}" name="Total% (50-54)40" dataDxfId="69" dataCellStyle="Comma">
      <calculatedColumnFormula>$AF3*Table1[[#This Row],[Total% (50-54)]]</calculatedColumnFormula>
    </tableColumn>
    <tableColumn id="137" xr3:uid="{4B92D1A7-702E-4AB2-9B76-672EB7735A82}" name="Female%(50-54)41" dataDxfId="68" dataCellStyle="Comma">
      <calculatedColumnFormula>$CT3*Table1[[#This Row],[Female%(50-54)]]</calculatedColumnFormula>
    </tableColumn>
    <tableColumn id="138" xr3:uid="{FAE50AB4-3AB1-4D58-9073-5D0215C4A1A3}" name="Male% (50-54)42" dataDxfId="67" dataCellStyle="Comma">
      <calculatedColumnFormula>$CU3*Table1[[#This Row],[Male% (50-54)]]</calculatedColumnFormula>
    </tableColumn>
    <tableColumn id="139" xr3:uid="{E489B9B8-4696-4043-85C2-54BFA4DC23B1}" name="Total% (55-59)43" dataDxfId="66" dataCellStyle="Comma">
      <calculatedColumnFormula>$AF3*Table1[[#This Row],[Total% (55-59)]]</calculatedColumnFormula>
    </tableColumn>
    <tableColumn id="140" xr3:uid="{F7602A8C-04A8-4A32-92C7-F54C35B323F5}" name="Female% (55-59)44" dataDxfId="65" dataCellStyle="Comma">
      <calculatedColumnFormula>$CT3*Table1[[#This Row],[Female% (55-59)]]</calculatedColumnFormula>
    </tableColumn>
    <tableColumn id="141" xr3:uid="{D80AF4B4-22F9-40F4-B5E7-DE4796687C41}" name="Male% (55-59)45" dataDxfId="64" dataCellStyle="Comma">
      <calculatedColumnFormula>$CU3*Table1[[#This Row],[Male% (55-59)]]</calculatedColumnFormula>
    </tableColumn>
    <tableColumn id="142" xr3:uid="{8CDF8D02-557C-4071-A4B5-F3043157FBAF}" name="Total% (60-64)46" dataDxfId="63" dataCellStyle="Comma">
      <calculatedColumnFormula>$AF3*Table1[[#This Row],[Total% (60-64)]]</calculatedColumnFormula>
    </tableColumn>
    <tableColumn id="143" xr3:uid="{C5B7DDFC-1AB4-4797-8019-F4652522DA63}" name="Female%(60-64)47" dataDxfId="62" dataCellStyle="Comma">
      <calculatedColumnFormula>$CT3*Table1[[#This Row],[Female%(60-64)]]</calculatedColumnFormula>
    </tableColumn>
    <tableColumn id="144" xr3:uid="{47549DA7-7A49-4CBD-9715-DFFE73A0BC2E}" name="Male%(60-64)48" dataDxfId="61" dataCellStyle="Comma">
      <calculatedColumnFormula>$CU3*Table1[[#This Row],[Male%(60-64)]]</calculatedColumnFormula>
    </tableColumn>
    <tableColumn id="145" xr3:uid="{8816E0F8-986B-4A92-998D-B6460A325F8C}" name="Total% (&gt;=65)49" dataDxfId="60" dataCellStyle="Comma">
      <calculatedColumnFormula>$AF3*Table1[[#This Row],[Total% (&gt;=65)]]</calculatedColumnFormula>
    </tableColumn>
    <tableColumn id="146" xr3:uid="{CD26BA56-7DB8-44BB-B7D6-93F3FEBA19E7}" name="Female%(&gt;=65)50" dataDxfId="59" dataCellStyle="Comma">
      <calculatedColumnFormula>$CT3*Table1[[#This Row],[Female%(&gt;=65)]]</calculatedColumnFormula>
    </tableColumn>
    <tableColumn id="147" xr3:uid="{FDD04956-3DB4-449F-8060-BFAC76D72A30}" name="Male% (&gt;=65)51" dataDxfId="58" dataCellStyle="Comma">
      <calculatedColumnFormula>$CU3*Table1[[#This Row],[Male% (&gt;=65)]]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798509-7F84-4CDA-85B1-25DD5C3CF649}" name="Table2" displayName="Table2" ref="A2:BL274" totalsRowShown="0" headerRowDxfId="57">
  <autoFilter ref="A2:BL274" xr:uid="{42798509-7F84-4CDA-85B1-25DD5C3CF649}"/>
  <tableColumns count="64">
    <tableColumn id="1" xr3:uid="{206CC9E6-81BB-4330-B317-BF9EDE9AB404}" name="admin1Name_en"/>
    <tableColumn id="2" xr3:uid="{41774892-DC14-4F20-B299-DDCB1FE76AE2}" name="admin1Name_ar"/>
    <tableColumn id="3" xr3:uid="{2330F5C8-F4CD-4D9C-8E0E-0FD828BD4B09}" name="admin1Pcode"/>
    <tableColumn id="4" xr3:uid="{61D00168-DA53-4AD5-81F2-675B1ECA7DA7}" name="admin3Name_en"/>
    <tableColumn id="5" xr3:uid="{77F93202-2572-4544-BFE5-9DB9E8988B03}" name="admin3Name_ar"/>
    <tableColumn id="6" xr3:uid="{8D337CB7-CEB4-40FF-ACAF-79881811D2EC}" name="admin3Pcode"/>
    <tableColumn id="7" xr3:uid="{97C97E1E-BB5F-4907-B1D6-5A0E84B8C327}" name="admin3RefName_en"/>
    <tableColumn id="8" xr3:uid="{8333FF4E-63ED-4A80-84E5-CCBE52AF5218}" name="Health_PIN" dataDxfId="56" dataCellStyle="Comma"/>
    <tableColumn id="9" xr3:uid="{985D3E90-F5A0-439C-A1CF-9C424E881E1E}" name="CCCM_PIN" dataDxfId="55" dataCellStyle="Comma"/>
    <tableColumn id="10" xr3:uid="{1DDB0007-1357-4678-9E02-3ACB083D9FE6}" name="ERL_PIN" dataDxfId="54" dataCellStyle="Comma"/>
    <tableColumn id="11" xr3:uid="{150E61E7-5996-4E1A-9F25-BA59B022507C}" name="NFI_PIN" dataDxfId="53" dataCellStyle="Comma"/>
    <tableColumn id="12" xr3:uid="{E68B8EFB-5F11-44C4-BB95-60EC4E9E7770}" name="Nutrition_PIN" dataDxfId="52" dataCellStyle="Comma"/>
    <tableColumn id="13" xr3:uid="{96439203-DBCB-4F3F-94E4-EE1A5F1D5A56}" name="Education_PIN" dataDxfId="51" dataCellStyle="Comma"/>
    <tableColumn id="14" xr3:uid="{057D5F15-1070-4488-ABA7-856E4BDF30FC}" name="Shelter_PIN" dataDxfId="50" dataCellStyle="Comma"/>
    <tableColumn id="15" xr3:uid="{5F7DBA98-356D-4B1C-9DB4-A214C1B5420E}" name="WASH_PIN" dataDxfId="49" dataCellStyle="Comma"/>
    <tableColumn id="16" xr3:uid="{E1BA28C9-71F8-4E38-949D-E8353DE96334}" name="WASH_acute_PIN" dataDxfId="48" dataCellStyle="Comma"/>
    <tableColumn id="17" xr3:uid="{42827A2D-8E2E-4BD8-8089-358D7319B9FB}" name="Protection_PIN" dataDxfId="47" dataCellStyle="Comma"/>
    <tableColumn id="18" xr3:uid="{169B2D19-D72E-43A9-BF82-FF5C80CAA454}" name="Food_PIN" dataDxfId="46" dataCellStyle="Comma"/>
    <tableColumn id="19" xr3:uid="{7EC9220A-7A20-4AF7-91FF-4C4CA4DC677D}" name="Protection_CP_PIN" dataDxfId="45" dataCellStyle="Comma"/>
    <tableColumn id="20" xr3:uid="{C0B50312-AC34-494A-B9AF-58999BB201B2}" name="Protection_GBV_PIN" dataDxfId="44" dataCellStyle="Comma"/>
    <tableColumn id="21" xr3:uid="{2FEC048D-C4E5-48E2-8368-368B4EA907D8}" name="Protection_MA_PIN" dataDxfId="43" dataCellStyle="Comma"/>
    <tableColumn id="48" xr3:uid="{EE9D79DD-B7A9-4216-872B-F76842079151}" name="%NWS" dataDxfId="42" dataCellStyle="Percent">
      <calculatedColumnFormula>_xlfn.XLOOKUP(Table2[[#This Row],[admin3Pcode]],'Inter-sector dataset'!F:F,'Inter-sector dataset'!Q:Q)</calculatedColumnFormula>
    </tableColumn>
    <tableColumn id="49" xr3:uid="{E4BAB073-DDAC-4BA6-A917-0988B9DA05A4}" name="%RAATA" dataDxfId="41" dataCellStyle="Percent">
      <calculatedColumnFormula>_xlfn.XLOOKUP(Table2[[#This Row],[admin3Pcode]],'Inter-sector dataset'!F:F,'Inter-sector dataset'!R:R)</calculatedColumnFormula>
    </tableColumn>
    <tableColumn id="35" xr3:uid="{933A0292-AB4B-4F7F-9EDC-46ACE66EC5AF}" name="NW_Health_PIN" dataDxfId="40" dataCellStyle="Comma">
      <calculatedColumnFormula>IFERROR(Table2[[#This Row],[Health_PIN]]*$V3,)</calculatedColumnFormula>
    </tableColumn>
    <tableColumn id="36" xr3:uid="{7A4035C4-B279-4ECC-BCA5-115ECC01BD5F}" name="NW_CCCM_PIN" dataDxfId="39" dataCellStyle="Comma">
      <calculatedColumnFormula>IFERROR(Table2[[#This Row],[CCCM_PIN]]*$V3,)</calculatedColumnFormula>
    </tableColumn>
    <tableColumn id="37" xr3:uid="{00467D77-1559-4C41-853C-41767D2BE789}" name="NW_ERL_PIN" dataDxfId="38" dataCellStyle="Comma">
      <calculatedColumnFormula>IFERROR(Table2[[#This Row],[ERL_PIN]]*$V3,)</calculatedColumnFormula>
    </tableColumn>
    <tableColumn id="38" xr3:uid="{7FB8BBDC-6876-4645-8E85-457F16525AD9}" name="NW_NFI_PIN" dataDxfId="37" dataCellStyle="Comma">
      <calculatedColumnFormula>IFERROR(Table2[[#This Row],[NFI_PIN]]*$V3,)</calculatedColumnFormula>
    </tableColumn>
    <tableColumn id="39" xr3:uid="{004B96EF-880E-4A92-865C-6692DB4A2433}" name="NW_Nutrition_PIN" dataDxfId="36" dataCellStyle="Comma">
      <calculatedColumnFormula>IFERROR(Table2[[#This Row],[Nutrition_PIN]]*$V3,)</calculatedColumnFormula>
    </tableColumn>
    <tableColumn id="40" xr3:uid="{CBBF3E2F-7B24-4778-9C26-23ED1B45D7F1}" name="NW_Education_PIN" dataDxfId="35" dataCellStyle="Comma">
      <calculatedColumnFormula>IFERROR(Table2[[#This Row],[Education_PIN]]*$V3,)</calculatedColumnFormula>
    </tableColumn>
    <tableColumn id="41" xr3:uid="{9512E6F8-A5A8-47D2-8020-6FC4132330C7}" name="NW_Shelter_PIN" dataDxfId="34" dataCellStyle="Comma">
      <calculatedColumnFormula>IFERROR(Table2[[#This Row],[Shelter_PIN]]*$V3,)</calculatedColumnFormula>
    </tableColumn>
    <tableColumn id="42" xr3:uid="{C915DC24-0D8C-4065-AD67-F0D02BA8DF23}" name="NW_WASH_PIN" dataDxfId="33" dataCellStyle="Comma">
      <calculatedColumnFormula>IFERROR(Table2[[#This Row],[WASH_PIN]]*$V3,)</calculatedColumnFormula>
    </tableColumn>
    <tableColumn id="43" xr3:uid="{7F99E698-0B14-4D43-A0DF-F3D0C16639BB}" name="NW_WASH_acute_PIN" dataDxfId="32" dataCellStyle="Comma">
      <calculatedColumnFormula>IFERROR(Table2[[#This Row],[WASH_acute_PIN]]*$V3,)</calculatedColumnFormula>
    </tableColumn>
    <tableColumn id="44" xr3:uid="{036BB8F9-9FCB-4481-9A79-2552F2ADFF82}" name="NW_Protection_PIN" dataDxfId="31" dataCellStyle="Comma">
      <calculatedColumnFormula>IFERROR(Table2[[#This Row],[Protection_PIN]]*$V3,)</calculatedColumnFormula>
    </tableColumn>
    <tableColumn id="45" xr3:uid="{55DBBA25-FB46-4194-AD29-F1921FB5342D}" name="NW_Food_PIN" dataDxfId="30" dataCellStyle="Comma">
      <calculatedColumnFormula>IFERROR(Table2[[#This Row],[Food_PIN]]*$V3,)</calculatedColumnFormula>
    </tableColumn>
    <tableColumn id="46" xr3:uid="{35C64164-6315-410C-87FF-5A22D5D626A0}" name="NW_Protection_CP_PIN" dataDxfId="29" dataCellStyle="Comma">
      <calculatedColumnFormula>IFERROR(Table2[[#This Row],[Protection_CP_PIN]]*$V3,)</calculatedColumnFormula>
    </tableColumn>
    <tableColumn id="47" xr3:uid="{98F4235F-6857-4668-98F1-69D7BD366CD0}" name="NW_Protection_GBV_PIN" dataDxfId="28" dataCellStyle="Comma">
      <calculatedColumnFormula>IFERROR(Table2[[#This Row],[Protection_GBV_PIN]]*$V3,)</calculatedColumnFormula>
    </tableColumn>
    <tableColumn id="50" xr3:uid="{6DA4CD17-E503-4D26-9830-EAB2DAC12152}" name="NW_Protection_MA_PIN" dataDxfId="27" dataCellStyle="Comma">
      <calculatedColumnFormula>IFERROR(Table2[[#This Row],[Protection_MA_PIN]]*$V3,)</calculatedColumnFormula>
    </tableColumn>
    <tableColumn id="51" xr3:uid="{1A2D14CF-3AFC-420E-B253-C147668CA413}" name="Health_PIN2" dataDxfId="26" dataCellStyle="Comma">
      <calculatedColumnFormula>IFERROR(Table2[[#This Row],[Health_PIN]]*$W3,)</calculatedColumnFormula>
    </tableColumn>
    <tableColumn id="52" xr3:uid="{809DDE4B-A9F0-40F7-AD9B-D9B2195916D6}" name="CCCM_PIN3" dataDxfId="25" dataCellStyle="Comma">
      <calculatedColumnFormula>IFERROR(Table2[[#This Row],[CCCM_PIN]]*$W3,)</calculatedColumnFormula>
    </tableColumn>
    <tableColumn id="53" xr3:uid="{E60243B9-2BC4-496F-BD95-90B1BAA6994E}" name="ERL_PIN4" dataDxfId="24" dataCellStyle="Comma">
      <calculatedColumnFormula>IFERROR(Table2[[#This Row],[ERL_PIN]]*$W3,)</calculatedColumnFormula>
    </tableColumn>
    <tableColumn id="54" xr3:uid="{908C2C45-603C-4759-AD0A-778C4E47783C}" name="NFI_PIN5" dataDxfId="23" dataCellStyle="Comma">
      <calculatedColumnFormula>IFERROR(Table2[[#This Row],[NFI_PIN]]*$W3,)</calculatedColumnFormula>
    </tableColumn>
    <tableColumn id="55" xr3:uid="{342DEB84-3641-4E9B-AF49-10BBA8112EF7}" name="Nutrition_PIN6" dataDxfId="22" dataCellStyle="Comma">
      <calculatedColumnFormula>IFERROR(Table2[[#This Row],[Nutrition_PIN]]*$W3,)</calculatedColumnFormula>
    </tableColumn>
    <tableColumn id="56" xr3:uid="{011D4695-A8AB-4700-97CB-8C67C97CBF34}" name="Education_PIN7" dataDxfId="21" dataCellStyle="Comma">
      <calculatedColumnFormula>IFERROR(Table2[[#This Row],[Education_PIN]]*$W3,)</calculatedColumnFormula>
    </tableColumn>
    <tableColumn id="57" xr3:uid="{E18CA29A-1CA5-47FD-827C-E02729AB27E8}" name="Shelter_PIN8" dataDxfId="20" dataCellStyle="Comma">
      <calculatedColumnFormula>IFERROR(Table2[[#This Row],[Shelter_PIN]]*$W3,)</calculatedColumnFormula>
    </tableColumn>
    <tableColumn id="58" xr3:uid="{AF552056-C377-4C15-84E6-599DD193404E}" name="WASH_PIN9" dataDxfId="19" dataCellStyle="Comma">
      <calculatedColumnFormula>IFERROR(Table2[[#This Row],[WASH_PIN]]*$W3,)</calculatedColumnFormula>
    </tableColumn>
    <tableColumn id="59" xr3:uid="{DB88C55A-5662-44B5-AF98-FB651C4D8D57}" name="WASH_acute_PIN10" dataDxfId="18" dataCellStyle="Comma">
      <calculatedColumnFormula>IFERROR(Table2[[#This Row],[WASH_acute_PIN]]*$W3,)</calculatedColumnFormula>
    </tableColumn>
    <tableColumn id="60" xr3:uid="{9A90048F-92E2-451C-92BF-A8BD31E97004}" name="Protection_PIN11" dataDxfId="17" dataCellStyle="Comma">
      <calculatedColumnFormula>IFERROR(Table2[[#This Row],[Protection_PIN]]*$W3,)</calculatedColumnFormula>
    </tableColumn>
    <tableColumn id="61" xr3:uid="{BEBBF4A5-A037-4106-B965-6979F596F80C}" name="Food_PIN12" dataDxfId="16" dataCellStyle="Comma">
      <calculatedColumnFormula>IFERROR(Table2[[#This Row],[Food_PIN]]*$W3,)</calculatedColumnFormula>
    </tableColumn>
    <tableColumn id="62" xr3:uid="{A32CD159-F03B-47CC-8E99-DB1096CCC744}" name="Protection_CP_PIN13" dataDxfId="15" dataCellStyle="Comma">
      <calculatedColumnFormula>IFERROR(Table2[[#This Row],[Protection_CP_PIN]]*$W3,)</calculatedColumnFormula>
    </tableColumn>
    <tableColumn id="63" xr3:uid="{C67D25E4-4194-42F5-BDEA-43EF2E405E45}" name="Protection_GBV_PIN14" dataDxfId="14" dataCellStyle="Comma">
      <calculatedColumnFormula>IFERROR(Table2[[#This Row],[Protection_GBV_PIN]]*$W3,)</calculatedColumnFormula>
    </tableColumn>
    <tableColumn id="64" xr3:uid="{5DD2AB4E-CA47-4BC2-A83F-89AC5E309165}" name="Protection_MA_PIN15" dataDxfId="13" dataCellStyle="Comma">
      <calculatedColumnFormula>IFERROR(Table2[[#This Row],[Protection_MA_PIN]]*$W3,)</calculatedColumnFormula>
    </tableColumn>
    <tableColumn id="22" xr3:uid="{EBCDE6A7-C7C6-43FF-9B42-C034428BF1B7}" name="Shelter_Severity" dataDxfId="12" dataCellStyle="Comma"/>
    <tableColumn id="23" xr3:uid="{5F465F73-A8E9-41AA-8E26-9E1F87358C13}" name="Education_Severity" dataDxfId="11" dataCellStyle="Comma"/>
    <tableColumn id="24" xr3:uid="{9A1A279B-2C25-419F-8F7E-B78AF6D34E0B}" name="Nutrition_Severity" dataDxfId="10" dataCellStyle="Comma"/>
    <tableColumn id="25" xr3:uid="{230475DA-BB81-4EC4-BC6D-671AB9500698}" name="NFI_Severity" dataDxfId="9" dataCellStyle="Comma"/>
    <tableColumn id="26" xr3:uid="{8C4E9319-05E8-42C7-9346-F5E043CBDAC1}" name="ERL_Severity" dataDxfId="8" dataCellStyle="Comma"/>
    <tableColumn id="27" xr3:uid="{C75F2F0F-CDCF-4D24-94C1-A73E21781904}" name="Health_Severity" dataDxfId="7" dataCellStyle="Comma"/>
    <tableColumn id="28" xr3:uid="{4B286D2E-3820-42CF-BDFD-DD78A42018A9}" name="Protection_Severity" dataDxfId="6" dataCellStyle="Comma"/>
    <tableColumn id="29" xr3:uid="{A87E8E69-7A20-40FA-A2C5-3C34A2EF2725}" name="Protection_CP_Severity" dataDxfId="5" dataCellStyle="Comma"/>
    <tableColumn id="30" xr3:uid="{B32C3171-6615-4A76-B0AD-2901D4D030F2}" name="Protection_GBV_Severity" dataDxfId="4" dataCellStyle="Comma"/>
    <tableColumn id="31" xr3:uid="{C6B8F72A-CE10-416A-AC25-672E548E364E}" name="Protection_MA_Severity" dataDxfId="3" dataCellStyle="Comma"/>
    <tableColumn id="32" xr3:uid="{CB915576-6823-4E94-AC25-7AF463C1161A}" name="Food_Severity" dataDxfId="2" dataCellStyle="Comma"/>
    <tableColumn id="33" xr3:uid="{758CE178-F1C6-4A7B-B456-6AA53B376D5E}" name="CCCM_Severity" dataDxfId="1" dataCellStyle="Comma"/>
    <tableColumn id="34" xr3:uid="{F0526487-4707-4D44-8DCB-EA8C9DDACEC3}" name="WASH_Severity" dataDxfId="0" dataCellStyle="Comm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272"/>
  <sheetViews>
    <sheetView showGridLines="0" tabSelected="1" zoomScale="85" zoomScaleNormal="85" workbookViewId="0">
      <selection activeCell="I157" sqref="I157"/>
    </sheetView>
  </sheetViews>
  <sheetFormatPr defaultRowHeight="14.5" x14ac:dyDescent="0.35"/>
  <cols>
    <col min="1" max="1" width="19.453125" bestFit="1" customWidth="1"/>
    <col min="2" max="2" width="15.81640625" bestFit="1" customWidth="1"/>
    <col min="3" max="3" width="19.453125" bestFit="1" customWidth="1"/>
    <col min="4" max="4" width="15.81640625" bestFit="1" customWidth="1"/>
    <col min="5" max="5" width="27.26953125" bestFit="1" customWidth="1"/>
    <col min="6" max="6" width="15.81640625" bestFit="1" customWidth="1"/>
    <col min="7" max="7" width="15.81640625" customWidth="1"/>
    <col min="8" max="8" width="32.453125" bestFit="1" customWidth="1"/>
    <col min="9" max="13" width="16.54296875" bestFit="1" customWidth="1"/>
    <col min="14" max="14" width="38.1796875" bestFit="1" customWidth="1"/>
    <col min="15" max="16" width="7.7265625" bestFit="1" customWidth="1"/>
    <col min="17" max="17" width="8.54296875" bestFit="1" customWidth="1"/>
    <col min="18" max="18" width="10.1796875" bestFit="1" customWidth="1"/>
    <col min="19" max="19" width="13.7265625" bestFit="1" customWidth="1"/>
    <col min="20" max="20" width="13.7265625" style="1" customWidth="1"/>
    <col min="21" max="21" width="25.26953125" style="1" customWidth="1"/>
    <col min="22" max="29" width="13.7265625" customWidth="1"/>
    <col min="30" max="31" width="11.453125" bestFit="1" customWidth="1"/>
    <col min="32" max="32" width="12.26953125" bestFit="1" customWidth="1"/>
    <col min="33" max="33" width="13.81640625" bestFit="1" customWidth="1"/>
    <col min="34" max="34" width="17.7265625" bestFit="1" customWidth="1"/>
    <col min="35" max="38" width="17.7265625" style="1" customWidth="1"/>
    <col min="39" max="39" width="12.81640625" bestFit="1" customWidth="1"/>
    <col min="40" max="40" width="10.7265625" bestFit="1" customWidth="1"/>
    <col min="41" max="41" width="28.7265625" bestFit="1" customWidth="1"/>
    <col min="42" max="42" width="12.453125" bestFit="1" customWidth="1"/>
    <col min="43" max="43" width="14.1796875" bestFit="1" customWidth="1"/>
    <col min="44" max="44" width="15" bestFit="1" customWidth="1"/>
    <col min="45" max="45" width="16" bestFit="1" customWidth="1"/>
    <col min="46" max="46" width="13.453125" bestFit="1" customWidth="1"/>
    <col min="47" max="47" width="15" bestFit="1" customWidth="1"/>
    <col min="48" max="48" width="17.26953125" bestFit="1" customWidth="1"/>
    <col min="49" max="49" width="14.453125" bestFit="1" customWidth="1"/>
    <col min="50" max="50" width="15.54296875" bestFit="1" customWidth="1"/>
    <col min="51" max="51" width="17.81640625" bestFit="1" customWidth="1"/>
    <col min="52" max="53" width="15" bestFit="1" customWidth="1"/>
    <col min="54" max="54" width="17.26953125" bestFit="1" customWidth="1"/>
    <col min="55" max="55" width="14.453125" bestFit="1" customWidth="1"/>
    <col min="56" max="56" width="17.26953125" bestFit="1" customWidth="1"/>
    <col min="57" max="57" width="19.453125" bestFit="1" customWidth="1"/>
    <col min="58" max="59" width="17.26953125" bestFit="1" customWidth="1"/>
    <col min="60" max="60" width="19.453125" bestFit="1" customWidth="1"/>
    <col min="61" max="61" width="16.54296875" bestFit="1" customWidth="1"/>
    <col min="62" max="62" width="17.26953125" bestFit="1" customWidth="1"/>
    <col min="63" max="63" width="19.453125" bestFit="1" customWidth="1"/>
    <col min="64" max="64" width="16.54296875" bestFit="1" customWidth="1"/>
    <col min="65" max="65" width="17.26953125" bestFit="1" customWidth="1"/>
    <col min="66" max="66" width="19.453125" bestFit="1" customWidth="1"/>
    <col min="67" max="67" width="16.54296875" bestFit="1" customWidth="1"/>
    <col min="68" max="68" width="17.26953125" bestFit="1" customWidth="1"/>
    <col min="69" max="69" width="19.453125" bestFit="1" customWidth="1"/>
    <col min="70" max="71" width="17.26953125" bestFit="1" customWidth="1"/>
    <col min="72" max="72" width="19.453125" bestFit="1" customWidth="1"/>
    <col min="73" max="73" width="17.26953125" bestFit="1" customWidth="1"/>
    <col min="74" max="74" width="18.453125" bestFit="1" customWidth="1"/>
    <col min="75" max="75" width="20.54296875" bestFit="1" customWidth="1"/>
    <col min="76" max="76" width="17.81640625" bestFit="1" customWidth="1"/>
    <col min="77" max="77" width="17.26953125" bestFit="1" customWidth="1"/>
    <col min="78" max="78" width="19.453125" bestFit="1" customWidth="1"/>
    <col min="79" max="80" width="17.26953125" bestFit="1" customWidth="1"/>
    <col min="81" max="81" width="19.453125" bestFit="1" customWidth="1"/>
    <col min="82" max="82" width="16.54296875" bestFit="1" customWidth="1"/>
    <col min="83" max="83" width="17.26953125" bestFit="1" customWidth="1"/>
    <col min="84" max="84" width="19.453125" bestFit="1" customWidth="1"/>
    <col min="85" max="86" width="17.26953125" bestFit="1" customWidth="1"/>
    <col min="87" max="87" width="18.81640625" bestFit="1" customWidth="1"/>
    <col min="88" max="89" width="17.26953125" bestFit="1" customWidth="1"/>
    <col min="90" max="90" width="19.453125" bestFit="1" customWidth="1"/>
    <col min="91" max="92" width="17.26953125" bestFit="1" customWidth="1"/>
    <col min="93" max="93" width="18.81640625" bestFit="1" customWidth="1"/>
    <col min="94" max="94" width="16.54296875" bestFit="1" customWidth="1"/>
    <col min="95" max="95" width="16.453125" bestFit="1" customWidth="1"/>
    <col min="96" max="96" width="18.1796875" bestFit="1" customWidth="1"/>
    <col min="97" max="97" width="16.453125" bestFit="1" customWidth="1"/>
    <col min="98" max="99" width="16.453125" customWidth="1"/>
  </cols>
  <sheetData>
    <row r="1" spans="1:150" x14ac:dyDescent="0.35">
      <c r="AQ1">
        <f>3.79/2</f>
        <v>1.895</v>
      </c>
      <c r="CV1" s="16">
        <f>SUM(Table1[tOTAL% (0-2)2])</f>
        <v>308259.54258228664</v>
      </c>
      <c r="CW1" s="16">
        <f>SUM(Table1[Female% (0-2)22])</f>
        <v>155951.45793077405</v>
      </c>
      <c r="CX1" s="16">
        <f>SUM(Table1[Male%(0-2)3])</f>
        <v>152308.08465151271</v>
      </c>
      <c r="CY1" s="16">
        <f>SUM(Table1[Total%  (3-5)4])</f>
        <v>716655.64030315075</v>
      </c>
      <c r="CZ1" s="16">
        <f>SUM(Table1[Female%  (3-5)5])</f>
        <v>451189.63186965266</v>
      </c>
      <c r="DA1" s="16">
        <f>SUM(Table1[Male% (3-5)6])</f>
        <v>265466.00843349827</v>
      </c>
      <c r="DB1" s="16">
        <f>SUM(Table1[Total% (6-8)7])</f>
        <v>406761.4050589265</v>
      </c>
      <c r="DC1" s="16">
        <f>SUM(Table1[Female% (6-8)8])</f>
        <v>180262.76237938268</v>
      </c>
      <c r="DD1" s="16">
        <f>SUM(Table1[Male%(6-8)9])</f>
        <v>226498.64267954376</v>
      </c>
      <c r="DE1" s="16">
        <f>SUM(Table1[Total% (9 - 11)10])</f>
        <v>315123.25457197195</v>
      </c>
      <c r="DF1" s="16">
        <f>SUM(Table1[Female% (9 - 11)11])</f>
        <v>143579.58860783011</v>
      </c>
      <c r="DG1" s="16">
        <f>SUM(Table1[Male% (9 - 11)12])</f>
        <v>171543.66596414181</v>
      </c>
      <c r="DH1" s="16">
        <f>SUM(Table1[Total% (12-14)13])</f>
        <v>253549.8265367329</v>
      </c>
      <c r="DI1" s="16">
        <f>SUM(Table1[Female% (12-14)14])</f>
        <v>111326.12933713329</v>
      </c>
      <c r="DJ1" s="16">
        <f>SUM(Table1[Male%(12-14)15])</f>
        <v>142223.69719959953</v>
      </c>
      <c r="DK1" s="16">
        <f>SUM(Table1[Total% (15-17)16])</f>
        <v>210318.53068879034</v>
      </c>
      <c r="DL1" s="16">
        <f>SUM(Table1[Female% (15-17)17])</f>
        <v>99765.232110377474</v>
      </c>
      <c r="DM1" s="16">
        <f>SUM(Table1[Male%(15-17)18])</f>
        <v>110553.2985784129</v>
      </c>
      <c r="DN1" s="16">
        <f>SUM(Table1[Total% (18-19)19])</f>
        <v>80719.785746090201</v>
      </c>
      <c r="DO1" s="16">
        <f>SUM(Table1[Female% (18-19)20])</f>
        <v>43419.022399957408</v>
      </c>
      <c r="DP1" s="16">
        <f>SUM(Table1[Male%(18-19)21])</f>
        <v>37300.763346132764</v>
      </c>
      <c r="DQ1" s="16">
        <f>SUM(Table1[Total% (20-24)22])</f>
        <v>261183.9577915215</v>
      </c>
      <c r="DR1" s="16">
        <f>SUM(Table1[Female% (20-24)23])</f>
        <v>159228.45337647377</v>
      </c>
      <c r="DS1" s="16">
        <f>SUM(Table1[Male% (20-24)24])</f>
        <v>101955.50441504781</v>
      </c>
      <c r="DT1" s="16">
        <f>SUM(Table1[Total% (25-29)25])</f>
        <v>399977.61430786131</v>
      </c>
      <c r="DU1" s="16">
        <f>SUM(Table1[Female% (25-29)26])</f>
        <v>227558.85501049607</v>
      </c>
      <c r="DV1" s="16">
        <f>SUM(Table1[Male% (25-29)27])</f>
        <v>172418.75929736509</v>
      </c>
      <c r="DW1" s="16">
        <f>SUM(Table1[Total%   (30-34)28])</f>
        <v>338022.4606247659</v>
      </c>
      <c r="DX1" s="16">
        <f>SUM(Table1[Female%   (30-34)29])</f>
        <v>176611.94511532737</v>
      </c>
      <c r="DY1" s="16">
        <f>SUM(Table1[Male%  (30-34)30])</f>
        <v>161410.51550943821</v>
      </c>
      <c r="DZ1" s="16">
        <f>SUM(Table1[Total% (35-39)31])</f>
        <v>261105.13759410905</v>
      </c>
      <c r="EA1" s="16">
        <f>SUM(Table1[Female% (35-39)32])</f>
        <v>119194.14187473604</v>
      </c>
      <c r="EB1" s="16">
        <f>SUM(Table1[Male% (35-39)33])</f>
        <v>141910.99571937285</v>
      </c>
      <c r="EC1" s="16">
        <f>SUM(Table1[Total% (40-44)34])</f>
        <v>185671.47572189162</v>
      </c>
      <c r="ED1" s="16">
        <f>SUM(Table1[Female% (40-44)35])</f>
        <v>90596.120148076472</v>
      </c>
      <c r="EE1" s="16">
        <f>SUM(Table1[Male%(55-59)36])</f>
        <v>95075.355573815134</v>
      </c>
      <c r="EF1" s="16">
        <f>SUM(Table1[Total% (45-49)37])</f>
        <v>161021.91886306842</v>
      </c>
      <c r="EG1" s="16">
        <f>SUM(Table1[Female% (45-49)38])</f>
        <v>83695.816317240737</v>
      </c>
      <c r="EH1" s="16">
        <f>SUM(Table1[Male% (45-49)39])</f>
        <v>77326.102545827554</v>
      </c>
      <c r="EI1" s="16">
        <f>SUM(Table1[Total% (50-54)40])</f>
        <v>125018.50584586363</v>
      </c>
      <c r="EJ1" s="16">
        <f>SUM(Table1[Female%(50-54)41])</f>
        <v>65571.813858227528</v>
      </c>
      <c r="EK1" s="16">
        <f>SUM(Table1[Male% (50-54)42])</f>
        <v>59446.691987636026</v>
      </c>
      <c r="EL1" s="16">
        <f>SUM(Table1[Total% (55-59)43])</f>
        <v>98730.265715267247</v>
      </c>
      <c r="EM1" s="16">
        <f>SUM(Table1[Female% (55-59)44])</f>
        <v>39681.227552666729</v>
      </c>
      <c r="EN1" s="16">
        <f>SUM(Table1[Male% (55-59)45])</f>
        <v>59049.038162600467</v>
      </c>
      <c r="EO1" s="16">
        <f>SUM(Table1[Total% (60-64)46])</f>
        <v>62675.43463908205</v>
      </c>
      <c r="EP1" s="16">
        <f>SUM(Table1[Female%(60-64)47])</f>
        <v>40104.072144482008</v>
      </c>
      <c r="EQ1" s="16">
        <f>SUM(Table1[Male%(60-64)48])</f>
        <v>22571.36249460002</v>
      </c>
      <c r="ER1" s="16">
        <f>SUM(Table1[Total% (&gt;=65)49])</f>
        <v>93040.84506060186</v>
      </c>
      <c r="ES1" s="16">
        <f>SUM(Table1[Female%(&gt;=65)50])</f>
        <v>39047.714170940271</v>
      </c>
      <c r="ET1" s="16">
        <f>SUM(Table1[Male% (&gt;=65)51])</f>
        <v>53993.130889661545</v>
      </c>
    </row>
    <row r="2" spans="1:150" ht="30" customHeigh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1142</v>
      </c>
      <c r="H2" s="2" t="s">
        <v>633</v>
      </c>
      <c r="I2" s="2" t="s">
        <v>628</v>
      </c>
      <c r="J2" s="2" t="s">
        <v>629</v>
      </c>
      <c r="K2" s="2" t="s">
        <v>630</v>
      </c>
      <c r="L2" s="2" t="s">
        <v>631</v>
      </c>
      <c r="M2" s="2" t="s">
        <v>632</v>
      </c>
      <c r="N2" s="2" t="s">
        <v>634</v>
      </c>
      <c r="O2" s="6" t="s">
        <v>975</v>
      </c>
      <c r="P2" s="6" t="s">
        <v>976</v>
      </c>
      <c r="Q2" s="6" t="s">
        <v>977</v>
      </c>
      <c r="R2" s="6" t="s">
        <v>978</v>
      </c>
      <c r="S2" s="6" t="s">
        <v>130</v>
      </c>
      <c r="T2" s="9" t="s">
        <v>1053</v>
      </c>
      <c r="U2" s="9" t="s">
        <v>1145</v>
      </c>
      <c r="V2" s="7" t="s">
        <v>1045</v>
      </c>
      <c r="W2" s="7" t="s">
        <v>1046</v>
      </c>
      <c r="X2" s="7" t="s">
        <v>1047</v>
      </c>
      <c r="Y2" s="7" t="s">
        <v>1048</v>
      </c>
      <c r="Z2" s="8" t="s">
        <v>1049</v>
      </c>
      <c r="AA2" s="8" t="s">
        <v>1050</v>
      </c>
      <c r="AB2" s="8" t="s">
        <v>1051</v>
      </c>
      <c r="AC2" s="8" t="s">
        <v>1052</v>
      </c>
      <c r="AD2" s="2" t="s">
        <v>979</v>
      </c>
      <c r="AE2" s="2" t="s">
        <v>980</v>
      </c>
      <c r="AF2" s="2" t="s">
        <v>981</v>
      </c>
      <c r="AG2" s="2" t="s">
        <v>982</v>
      </c>
      <c r="AH2" s="2" t="s">
        <v>983</v>
      </c>
      <c r="AI2" s="12" t="s">
        <v>1054</v>
      </c>
      <c r="AJ2" s="12" t="s">
        <v>1055</v>
      </c>
      <c r="AK2" s="12" t="s">
        <v>1056</v>
      </c>
      <c r="AL2" s="12" t="s">
        <v>1057</v>
      </c>
      <c r="AM2" s="2" t="s">
        <v>984</v>
      </c>
      <c r="AN2" s="2" t="s">
        <v>985</v>
      </c>
      <c r="AO2" s="2" t="s">
        <v>986</v>
      </c>
      <c r="AP2" s="2" t="s">
        <v>987</v>
      </c>
      <c r="AQ2" s="2" t="s">
        <v>988</v>
      </c>
      <c r="AR2" s="2" t="s">
        <v>989</v>
      </c>
      <c r="AS2" s="2" t="s">
        <v>990</v>
      </c>
      <c r="AT2" s="2" t="s">
        <v>991</v>
      </c>
      <c r="AU2" s="11" t="s">
        <v>992</v>
      </c>
      <c r="AV2" s="11" t="s">
        <v>993</v>
      </c>
      <c r="AW2" s="11" t="s">
        <v>994</v>
      </c>
      <c r="AX2" s="11" t="s">
        <v>995</v>
      </c>
      <c r="AY2" s="11" t="s">
        <v>996</v>
      </c>
      <c r="AZ2" s="11" t="s">
        <v>997</v>
      </c>
      <c r="BA2" s="11" t="s">
        <v>998</v>
      </c>
      <c r="BB2" s="11" t="s">
        <v>999</v>
      </c>
      <c r="BC2" s="11" t="s">
        <v>1000</v>
      </c>
      <c r="BD2" s="11" t="s">
        <v>1001</v>
      </c>
      <c r="BE2" s="11" t="s">
        <v>1002</v>
      </c>
      <c r="BF2" s="11" t="s">
        <v>1003</v>
      </c>
      <c r="BG2" s="11" t="s">
        <v>1004</v>
      </c>
      <c r="BH2" s="11" t="s">
        <v>1005</v>
      </c>
      <c r="BI2" s="11" t="s">
        <v>1006</v>
      </c>
      <c r="BJ2" s="11" t="s">
        <v>1007</v>
      </c>
      <c r="BK2" s="11" t="s">
        <v>1008</v>
      </c>
      <c r="BL2" s="11" t="s">
        <v>1009</v>
      </c>
      <c r="BM2" s="11" t="s">
        <v>1010</v>
      </c>
      <c r="BN2" s="11" t="s">
        <v>1011</v>
      </c>
      <c r="BO2" s="11" t="s">
        <v>1012</v>
      </c>
      <c r="BP2" s="11" t="s">
        <v>1013</v>
      </c>
      <c r="BQ2" s="11" t="s">
        <v>1014</v>
      </c>
      <c r="BR2" s="11" t="s">
        <v>1015</v>
      </c>
      <c r="BS2" s="11" t="s">
        <v>1016</v>
      </c>
      <c r="BT2" s="11" t="s">
        <v>1017</v>
      </c>
      <c r="BU2" s="11" t="s">
        <v>1018</v>
      </c>
      <c r="BV2" s="11" t="s">
        <v>1019</v>
      </c>
      <c r="BW2" s="11" t="s">
        <v>1020</v>
      </c>
      <c r="BX2" s="11" t="s">
        <v>1021</v>
      </c>
      <c r="BY2" s="11" t="s">
        <v>1022</v>
      </c>
      <c r="BZ2" s="11" t="s">
        <v>1023</v>
      </c>
      <c r="CA2" s="11" t="s">
        <v>1024</v>
      </c>
      <c r="CB2" s="11" t="s">
        <v>1025</v>
      </c>
      <c r="CC2" s="11" t="s">
        <v>1026</v>
      </c>
      <c r="CD2" s="11" t="s">
        <v>1027</v>
      </c>
      <c r="CE2" s="11" t="s">
        <v>1028</v>
      </c>
      <c r="CF2" s="11" t="s">
        <v>1029</v>
      </c>
      <c r="CG2" s="11" t="s">
        <v>1030</v>
      </c>
      <c r="CH2" s="11" t="s">
        <v>1031</v>
      </c>
      <c r="CI2" s="11" t="s">
        <v>1032</v>
      </c>
      <c r="CJ2" s="11" t="s">
        <v>1033</v>
      </c>
      <c r="CK2" s="11" t="s">
        <v>1034</v>
      </c>
      <c r="CL2" s="11" t="s">
        <v>1035</v>
      </c>
      <c r="CM2" s="11" t="s">
        <v>1036</v>
      </c>
      <c r="CN2" s="11" t="s">
        <v>1037</v>
      </c>
      <c r="CO2" s="11" t="s">
        <v>1038</v>
      </c>
      <c r="CP2" s="11" t="s">
        <v>1039</v>
      </c>
      <c r="CQ2" s="11" t="s">
        <v>1040</v>
      </c>
      <c r="CR2" s="11" t="s">
        <v>1041</v>
      </c>
      <c r="CS2" s="11" t="s">
        <v>1042</v>
      </c>
      <c r="CT2" s="22" t="s">
        <v>1138</v>
      </c>
      <c r="CU2" s="22" t="s">
        <v>1139</v>
      </c>
      <c r="CV2" s="15" t="s">
        <v>1141</v>
      </c>
      <c r="CW2" s="15" t="s">
        <v>1140</v>
      </c>
      <c r="CX2" s="15" t="s">
        <v>1059</v>
      </c>
      <c r="CY2" s="15" t="s">
        <v>1060</v>
      </c>
      <c r="CZ2" s="15" t="s">
        <v>1061</v>
      </c>
      <c r="DA2" s="15" t="s">
        <v>1062</v>
      </c>
      <c r="DB2" s="15" t="s">
        <v>1063</v>
      </c>
      <c r="DC2" s="15" t="s">
        <v>1064</v>
      </c>
      <c r="DD2" s="15" t="s">
        <v>1065</v>
      </c>
      <c r="DE2" s="15" t="s">
        <v>1066</v>
      </c>
      <c r="DF2" s="15" t="s">
        <v>1067</v>
      </c>
      <c r="DG2" s="15" t="s">
        <v>1068</v>
      </c>
      <c r="DH2" s="15" t="s">
        <v>1069</v>
      </c>
      <c r="DI2" s="15" t="s">
        <v>1070</v>
      </c>
      <c r="DJ2" s="15" t="s">
        <v>1071</v>
      </c>
      <c r="DK2" s="15" t="s">
        <v>1072</v>
      </c>
      <c r="DL2" s="15" t="s">
        <v>1073</v>
      </c>
      <c r="DM2" s="15" t="s">
        <v>1074</v>
      </c>
      <c r="DN2" s="15" t="s">
        <v>1075</v>
      </c>
      <c r="DO2" s="15" t="s">
        <v>1076</v>
      </c>
      <c r="DP2" s="15" t="s">
        <v>1077</v>
      </c>
      <c r="DQ2" s="15" t="s">
        <v>1078</v>
      </c>
      <c r="DR2" s="15" t="s">
        <v>1079</v>
      </c>
      <c r="DS2" s="15" t="s">
        <v>1080</v>
      </c>
      <c r="DT2" s="15" t="s">
        <v>1081</v>
      </c>
      <c r="DU2" s="15" t="s">
        <v>1082</v>
      </c>
      <c r="DV2" s="15" t="s">
        <v>1083</v>
      </c>
      <c r="DW2" s="15" t="s">
        <v>1084</v>
      </c>
      <c r="DX2" s="15" t="s">
        <v>1085</v>
      </c>
      <c r="DY2" s="15" t="s">
        <v>1086</v>
      </c>
      <c r="DZ2" s="15" t="s">
        <v>1087</v>
      </c>
      <c r="EA2" s="15" t="s">
        <v>1088</v>
      </c>
      <c r="EB2" s="15" t="s">
        <v>1089</v>
      </c>
      <c r="EC2" s="15" t="s">
        <v>1090</v>
      </c>
      <c r="ED2" s="15" t="s">
        <v>1091</v>
      </c>
      <c r="EE2" s="15" t="s">
        <v>1092</v>
      </c>
      <c r="EF2" s="15" t="s">
        <v>1093</v>
      </c>
      <c r="EG2" s="15" t="s">
        <v>1094</v>
      </c>
      <c r="EH2" s="15" t="s">
        <v>1095</v>
      </c>
      <c r="EI2" s="15" t="s">
        <v>1096</v>
      </c>
      <c r="EJ2" s="15" t="s">
        <v>1097</v>
      </c>
      <c r="EK2" s="15" t="s">
        <v>1098</v>
      </c>
      <c r="EL2" s="15" t="s">
        <v>1099</v>
      </c>
      <c r="EM2" s="15" t="s">
        <v>1100</v>
      </c>
      <c r="EN2" s="15" t="s">
        <v>1101</v>
      </c>
      <c r="EO2" s="15" t="s">
        <v>1102</v>
      </c>
      <c r="EP2" s="15" t="s">
        <v>1103</v>
      </c>
      <c r="EQ2" s="15" t="s">
        <v>1104</v>
      </c>
      <c r="ER2" s="15" t="s">
        <v>1105</v>
      </c>
      <c r="ES2" s="15" t="s">
        <v>1106</v>
      </c>
      <c r="ET2" s="15" t="s">
        <v>1107</v>
      </c>
    </row>
    <row r="3" spans="1:150" hidden="1" x14ac:dyDescent="0.35">
      <c r="A3" t="s">
        <v>180</v>
      </c>
      <c r="B3" t="s">
        <v>181</v>
      </c>
      <c r="C3" t="s">
        <v>180</v>
      </c>
      <c r="D3" t="s">
        <v>182</v>
      </c>
      <c r="E3" t="s">
        <v>180</v>
      </c>
      <c r="F3" t="s">
        <v>183</v>
      </c>
      <c r="H3">
        <v>3</v>
      </c>
      <c r="I3" s="1">
        <v>0</v>
      </c>
      <c r="J3" s="1">
        <v>930887</v>
      </c>
      <c r="K3" s="1">
        <v>855957</v>
      </c>
      <c r="L3" s="1">
        <v>31673</v>
      </c>
      <c r="M3" s="1">
        <v>0</v>
      </c>
      <c r="N3" s="1">
        <v>887630</v>
      </c>
      <c r="O3" s="3">
        <v>1</v>
      </c>
      <c r="P3" s="3">
        <v>0</v>
      </c>
      <c r="Q3" s="3">
        <v>0</v>
      </c>
      <c r="R3" s="3">
        <v>0</v>
      </c>
      <c r="S3" s="3">
        <v>0</v>
      </c>
      <c r="T3" s="1">
        <v>1818517</v>
      </c>
      <c r="U3" s="1">
        <v>0</v>
      </c>
      <c r="V3" s="10">
        <f>Table1[[#This Row],[Pop NW+RATAA]]*Table1[[#This Row],[Perc_pop_Northern_Aleppo]]</f>
        <v>0</v>
      </c>
      <c r="W3" s="10">
        <f>Table1[[#This Row],[Pop NW+RATAA]]*Table1[[#This Row],[Perc_pop_Afrin District]]</f>
        <v>0</v>
      </c>
      <c r="X3" s="10">
        <f>Table1[[#This Row],[Pop NW+RATAA]]*Table1[[#This Row],[Perc_pop_Euphrates Shiled]]</f>
        <v>0</v>
      </c>
      <c r="Y3" s="10">
        <f>Table1[[#This Row],[Pop NW+RATAA]]*Table1[[#This Row],[Perc_Pop_Idleb_NSAG]]</f>
        <v>0</v>
      </c>
      <c r="Z3" s="3">
        <v>0</v>
      </c>
      <c r="AA3" s="3">
        <v>0</v>
      </c>
      <c r="AB3" s="3">
        <v>0</v>
      </c>
      <c r="AC3" s="3">
        <v>0</v>
      </c>
      <c r="AD3" s="1">
        <v>887630</v>
      </c>
      <c r="AE3" s="1">
        <v>0</v>
      </c>
      <c r="AF3" s="1">
        <v>0</v>
      </c>
      <c r="AG3" s="1">
        <v>0</v>
      </c>
      <c r="AH3" s="1">
        <v>0</v>
      </c>
      <c r="AI3" s="1">
        <f>Table1[[#This Row],[NWS_pin]]*Table1[[#This Row],[Perc_pop_Northern_Aleppo]]</f>
        <v>0</v>
      </c>
      <c r="AJ3" s="1">
        <f>Table1[[#This Row],[NWS_pin]]*Table1[[#This Row],[Perc_pop_Afrin District]]</f>
        <v>0</v>
      </c>
      <c r="AK3" s="1">
        <f>Table1[[#This Row],[NWS_pin]]*Table1[[#This Row],[Perc_pop_Euphrates Shiled]]</f>
        <v>0</v>
      </c>
      <c r="AL3" s="1">
        <f>Table1[[#This Row],[NWS_pin]]*Table1[[#This Row],[Perc_Pop_Idleb_NSAG]]</f>
        <v>0</v>
      </c>
      <c r="AM3" s="4">
        <v>0.49715675487912397</v>
      </c>
      <c r="AN3" s="4">
        <v>0.50284324512087597</v>
      </c>
      <c r="AO3" s="4">
        <v>0.19478746028997099</v>
      </c>
      <c r="AP3" s="4">
        <v>0.45678196011286498</v>
      </c>
      <c r="AQ3" s="4">
        <v>0.45847168138503602</v>
      </c>
      <c r="AR3" s="4">
        <v>2.6684750198672901E-2</v>
      </c>
      <c r="AS3" s="4">
        <v>4.7129107523435198E-3</v>
      </c>
      <c r="AT3" s="4">
        <v>5.33486975510832E-2</v>
      </c>
      <c r="AU3" s="4">
        <v>4.0945998182067102E-2</v>
      </c>
      <c r="AV3" s="4">
        <v>4.3988167464000201E-2</v>
      </c>
      <c r="AW3" s="4">
        <v>3.7938231800249002E-2</v>
      </c>
      <c r="AX3" s="4">
        <v>9.1194679220265695E-2</v>
      </c>
      <c r="AY3" s="4">
        <v>9.3630567594645706E-2</v>
      </c>
      <c r="AZ3" s="4">
        <v>8.8786337512973906E-2</v>
      </c>
      <c r="BA3" s="4">
        <v>7.4585055746144505E-2</v>
      </c>
      <c r="BB3" s="4">
        <v>7.7132859664111E-2</v>
      </c>
      <c r="BC3" s="4">
        <v>7.2066064111644096E-2</v>
      </c>
      <c r="BD3" s="4">
        <v>6.0693923336238298E-2</v>
      </c>
      <c r="BE3" s="4">
        <v>4.6551158213543997E-2</v>
      </c>
      <c r="BF3" s="4">
        <v>7.4676752541244604E-2</v>
      </c>
      <c r="BG3" s="4">
        <v>9.9324130152565304E-2</v>
      </c>
      <c r="BH3" s="4">
        <v>7.4818312847128296E-2</v>
      </c>
      <c r="BI3" s="4">
        <v>0.123552819163398</v>
      </c>
      <c r="BJ3" s="4">
        <v>6.78024038855429E-2</v>
      </c>
      <c r="BK3" s="4">
        <v>4.20802745921076E-2</v>
      </c>
      <c r="BL3" s="4">
        <v>9.3233650008838306E-2</v>
      </c>
      <c r="BM3" s="4">
        <v>3.6168464924750003E-2</v>
      </c>
      <c r="BN3" s="4">
        <v>3.8245762494281701E-2</v>
      </c>
      <c r="BO3" s="4">
        <v>3.4114658835859603E-2</v>
      </c>
      <c r="BP3" s="4">
        <v>5.9335726476548098E-2</v>
      </c>
      <c r="BQ3" s="4">
        <v>6.2555509752450403E-2</v>
      </c>
      <c r="BR3" s="4">
        <v>5.6152354679484602E-2</v>
      </c>
      <c r="BS3" s="4">
        <v>5.9931391390046398E-2</v>
      </c>
      <c r="BT3" s="4">
        <v>8.3348787506753896E-2</v>
      </c>
      <c r="BU3" s="4">
        <v>3.6778814967740603E-2</v>
      </c>
      <c r="BV3" s="4">
        <v>6.7017019421878196E-2</v>
      </c>
      <c r="BW3" s="4">
        <v>9.1446647118847396E-2</v>
      </c>
      <c r="BX3" s="4">
        <v>4.2863658416082501E-2</v>
      </c>
      <c r="BY3" s="4">
        <v>7.16776233321091E-2</v>
      </c>
      <c r="BZ3" s="4">
        <v>8.3513258726342604E-2</v>
      </c>
      <c r="CA3" s="4">
        <v>5.9975833278003501E-2</v>
      </c>
      <c r="CB3" s="4">
        <v>8.1833441533233894E-2</v>
      </c>
      <c r="CC3" s="4">
        <v>9.0219450535175702E-2</v>
      </c>
      <c r="CD3" s="4">
        <v>7.3542267171747999E-2</v>
      </c>
      <c r="CE3" s="4">
        <v>5.8134716596469099E-2</v>
      </c>
      <c r="CF3" s="4">
        <v>6.9481359212607396E-2</v>
      </c>
      <c r="CG3" s="4">
        <v>4.6916389460630703E-2</v>
      </c>
      <c r="CH3" s="4">
        <v>3.0785320973904799E-2</v>
      </c>
      <c r="CI3" s="4">
        <v>1.3450905312319201E-2</v>
      </c>
      <c r="CJ3" s="4">
        <v>4.7923707382910199E-2</v>
      </c>
      <c r="CK3" s="4">
        <v>4.4742439078989303E-2</v>
      </c>
      <c r="CL3" s="4">
        <v>4.4269788158358497E-2</v>
      </c>
      <c r="CM3" s="4">
        <v>4.5209744944527799E-2</v>
      </c>
      <c r="CN3" s="4">
        <v>2.15661143402366E-2</v>
      </c>
      <c r="CO3" s="4">
        <v>2.0092557056919601E-2</v>
      </c>
      <c r="CP3" s="4">
        <v>2.3023007644881101E-2</v>
      </c>
      <c r="CQ3" s="4">
        <v>3.4261551409011E-2</v>
      </c>
      <c r="CR3" s="4">
        <v>2.51746337504067E-2</v>
      </c>
      <c r="CS3" s="4">
        <v>4.3245708079783299E-2</v>
      </c>
      <c r="CT3" s="1">
        <f>Table1[[#This Row],[Female %]]*Table1[[#This Row],[NWS_pin]]</f>
        <v>0</v>
      </c>
      <c r="CU3" s="1">
        <f>Table1[[#This Row],[Male %]]*Table1[[#This Row],[NWS_pin]]</f>
        <v>0</v>
      </c>
      <c r="CV3" s="1">
        <f>Table1[[#This Row],[Female% (0-2)22]]+Table1[[#This Row],[Male%(0-2)3]]</f>
        <v>0</v>
      </c>
      <c r="CW3" s="1">
        <f>$CT3*Table1[[#This Row],[Female% (0-2)]]</f>
        <v>0</v>
      </c>
      <c r="CX3" s="1">
        <f>$CU3*Table1[[#This Row],[Male%(0-2)]]</f>
        <v>0</v>
      </c>
      <c r="CY3" s="1">
        <f>Table1[[#This Row],[Female%  (3-5)5]]+Table1[[#This Row],[Male% (3-5)6]]</f>
        <v>0</v>
      </c>
      <c r="CZ3" s="1">
        <f>$CT3*Table1[[#This Row],[Female%  (3-5)]]</f>
        <v>0</v>
      </c>
      <c r="DA3" s="1">
        <f>$CU3*Table1[[#This Row],[Male% (3-5)]]</f>
        <v>0</v>
      </c>
      <c r="DB3" s="1">
        <f>Table1[[#This Row],[Female% (6-8)8]]+Table1[[#This Row],[Male%(6-8)9]]</f>
        <v>0</v>
      </c>
      <c r="DC3" s="1">
        <f>$CT3*Table1[[#This Row],[Female% (6-8)]]</f>
        <v>0</v>
      </c>
      <c r="DD3" s="1">
        <f>$CU3*Table1[[#This Row],[Male%(6-8)]]</f>
        <v>0</v>
      </c>
      <c r="DE3" s="1">
        <f>Table1[[#This Row],[Female% (9 - 11)11]]+Table1[[#This Row],[Male% (9 - 11)12]]</f>
        <v>0</v>
      </c>
      <c r="DF3" s="1">
        <f>$CT3*Table1[[#This Row],[Female% (9 - 11)]]</f>
        <v>0</v>
      </c>
      <c r="DG3" s="1">
        <f>$CU3*Table1[[#This Row],[Male% (9 - 11)]]</f>
        <v>0</v>
      </c>
      <c r="DH3" s="1">
        <f>Table1[[#This Row],[Female% (12-14)14]]+Table1[[#This Row],[Male%(12-14)15]]</f>
        <v>0</v>
      </c>
      <c r="DI3" s="1">
        <f>$CT3*Table1[[#This Row],[Female% (12-14)]]</f>
        <v>0</v>
      </c>
      <c r="DJ3" s="1">
        <f>$CU3*Table1[[#This Row],[Male%(12-14)]]</f>
        <v>0</v>
      </c>
      <c r="DK3" s="1">
        <f>Table1[[#This Row],[Female% (15-17)17]]+Table1[[#This Row],[Male%(15-17)18]]</f>
        <v>0</v>
      </c>
      <c r="DL3" s="1">
        <f>$CT3*Table1[[#This Row],[Female% (15-17)]]</f>
        <v>0</v>
      </c>
      <c r="DM3" s="1">
        <f>$CU3*Table1[[#This Row],[Male%(15-17)]]</f>
        <v>0</v>
      </c>
      <c r="DN3" s="1">
        <f>$AF3*Table1[[#This Row],[Total% (18-19)]]</f>
        <v>0</v>
      </c>
      <c r="DO3" s="1">
        <f>$CT3*Table1[[#This Row],[Female% (18-19)]]</f>
        <v>0</v>
      </c>
      <c r="DP3" s="1">
        <f>$CU3*Table1[[#This Row],[Male%(18-19)]]</f>
        <v>0</v>
      </c>
      <c r="DQ3" s="1">
        <f>$AF3*Table1[[#This Row],[Total% (20-24)]]</f>
        <v>0</v>
      </c>
      <c r="DR3" s="1">
        <f>$CT3*Table1[[#This Row],[Female% (20-24)]]</f>
        <v>0</v>
      </c>
      <c r="DS3" s="1">
        <f>$CU3*Table1[[#This Row],[Male% (20-24)]]</f>
        <v>0</v>
      </c>
      <c r="DT3" s="1">
        <f>$AF3*Table1[[#This Row],[Total% (25-29)]]</f>
        <v>0</v>
      </c>
      <c r="DU3" s="1">
        <f>$CT3*Table1[[#This Row],[Female% (25-29)]]</f>
        <v>0</v>
      </c>
      <c r="DV3" s="1">
        <f>$CU3*Table1[[#This Row],[Male% (25-29)]]</f>
        <v>0</v>
      </c>
      <c r="DW3" s="1">
        <f>$AF3*Table1[[#This Row],[Total%   (30-34)]]</f>
        <v>0</v>
      </c>
      <c r="DX3" s="1">
        <f>$CT3*Table1[[#This Row],[Female%   (30-34)]]</f>
        <v>0</v>
      </c>
      <c r="DY3" s="1">
        <f>$CU3*Table1[[#This Row],[Male%  (30-34)]]</f>
        <v>0</v>
      </c>
      <c r="DZ3" s="1">
        <f>$AF3*Table1[[#This Row],[Total% (35-39)]]</f>
        <v>0</v>
      </c>
      <c r="EA3" s="1">
        <f>$CT3*Table1[[#This Row],[Female% (35-39)]]</f>
        <v>0</v>
      </c>
      <c r="EB3" s="1">
        <f>$CU3*Table1[[#This Row],[Male% (35-39)]]</f>
        <v>0</v>
      </c>
      <c r="EC3" s="1">
        <f>$AF3*Table1[[#This Row],[Total% (40-44)]]</f>
        <v>0</v>
      </c>
      <c r="ED3" s="1">
        <f>$CT3*Table1[[#This Row],[Female% (40-44)]]</f>
        <v>0</v>
      </c>
      <c r="EE3" s="1">
        <f>$CU3*Table1[[#This Row],[Male%(55-59)]]</f>
        <v>0</v>
      </c>
      <c r="EF3" s="1">
        <f>$AF3*Table1[[#This Row],[Total% (45-49)]]</f>
        <v>0</v>
      </c>
      <c r="EG3" s="1">
        <f>$CT3*Table1[[#This Row],[Female% (45-49)]]</f>
        <v>0</v>
      </c>
      <c r="EH3" s="1">
        <f>$CU3*Table1[[#This Row],[Male% (45-49)]]</f>
        <v>0</v>
      </c>
      <c r="EI3" s="1">
        <f>$AF3*Table1[[#This Row],[Total% (50-54)]]</f>
        <v>0</v>
      </c>
      <c r="EJ3" s="1">
        <f>$CT3*Table1[[#This Row],[Female%(50-54)]]</f>
        <v>0</v>
      </c>
      <c r="EK3" s="1">
        <f>$CU3*Table1[[#This Row],[Male% (50-54)]]</f>
        <v>0</v>
      </c>
      <c r="EL3" s="1">
        <f>$AF3*Table1[[#This Row],[Total% (55-59)]]</f>
        <v>0</v>
      </c>
      <c r="EM3" s="1">
        <f>$CT3*Table1[[#This Row],[Female% (55-59)]]</f>
        <v>0</v>
      </c>
      <c r="EN3" s="1">
        <f>$CU3*Table1[[#This Row],[Male% (55-59)]]</f>
        <v>0</v>
      </c>
      <c r="EO3" s="1">
        <f>$AF3*Table1[[#This Row],[Total% (60-64)]]</f>
        <v>0</v>
      </c>
      <c r="EP3" s="1">
        <f>$CT3*Table1[[#This Row],[Female%(60-64)]]</f>
        <v>0</v>
      </c>
      <c r="EQ3" s="1">
        <f>$CU3*Table1[[#This Row],[Male%(60-64)]]</f>
        <v>0</v>
      </c>
      <c r="ER3" s="1">
        <f>$AF3*Table1[[#This Row],[Total% (&gt;=65)]]</f>
        <v>0</v>
      </c>
      <c r="ES3" s="1">
        <f>$CT3*Table1[[#This Row],[Female%(&gt;=65)]]</f>
        <v>0</v>
      </c>
      <c r="ET3" s="1">
        <f>$CU3*Table1[[#This Row],[Male% (&gt;=65)]]</f>
        <v>0</v>
      </c>
    </row>
    <row r="4" spans="1:150" hidden="1" x14ac:dyDescent="0.35">
      <c r="A4" t="s">
        <v>54</v>
      </c>
      <c r="B4" t="s">
        <v>55</v>
      </c>
      <c r="C4" t="s">
        <v>148</v>
      </c>
      <c r="D4" t="s">
        <v>149</v>
      </c>
      <c r="E4" t="s">
        <v>148</v>
      </c>
      <c r="F4" t="s">
        <v>150</v>
      </c>
      <c r="H4">
        <v>3</v>
      </c>
      <c r="I4" s="1">
        <v>33354</v>
      </c>
      <c r="J4" s="1">
        <v>1050663</v>
      </c>
      <c r="K4" s="1">
        <v>416930</v>
      </c>
      <c r="L4" s="1">
        <v>166772</v>
      </c>
      <c r="M4" s="1">
        <v>0</v>
      </c>
      <c r="N4" s="1">
        <v>583702</v>
      </c>
      <c r="O4" s="3">
        <v>0.98</v>
      </c>
      <c r="P4" s="3">
        <v>0</v>
      </c>
      <c r="Q4" s="3">
        <v>0</v>
      </c>
      <c r="R4" s="3">
        <v>0</v>
      </c>
      <c r="S4" s="3">
        <v>0.02</v>
      </c>
      <c r="T4" s="1">
        <v>1667719</v>
      </c>
      <c r="U4" s="1">
        <v>0</v>
      </c>
      <c r="V4" s="10">
        <f>Table1[[#This Row],[Pop NW+RATAA]]*Table1[[#This Row],[Perc_pop_Northern_Aleppo]]</f>
        <v>0</v>
      </c>
      <c r="W4" s="10">
        <f>Table1[[#This Row],[Pop NW+RATAA]]*Table1[[#This Row],[Perc_pop_Afrin District]]</f>
        <v>0</v>
      </c>
      <c r="X4" s="10">
        <f>Table1[[#This Row],[Pop NW+RATAA]]*Table1[[#This Row],[Perc_pop_Euphrates Shiled]]</f>
        <v>0</v>
      </c>
      <c r="Y4" s="10">
        <f>Table1[[#This Row],[Pop NW+RATAA]]*Table1[[#This Row],[Perc_Pop_Idleb_NSAG]]</f>
        <v>0</v>
      </c>
      <c r="Z4" s="3">
        <v>0</v>
      </c>
      <c r="AA4" s="3">
        <v>0</v>
      </c>
      <c r="AB4" s="3">
        <v>0</v>
      </c>
      <c r="AC4" s="3">
        <v>0</v>
      </c>
      <c r="AD4" s="1">
        <v>572027.96</v>
      </c>
      <c r="AE4" s="1">
        <v>0</v>
      </c>
      <c r="AF4" s="1">
        <v>0</v>
      </c>
      <c r="AG4" s="1">
        <v>0</v>
      </c>
      <c r="AH4" s="1">
        <v>11674.04</v>
      </c>
      <c r="AI4" s="1">
        <f>Table1[[#This Row],[NWS_pin]]*Table1[[#This Row],[Perc_pop_Northern_Aleppo]]</f>
        <v>0</v>
      </c>
      <c r="AJ4" s="1">
        <f>Table1[[#This Row],[NWS_pin]]*Table1[[#This Row],[Perc_pop_Afrin District]]</f>
        <v>0</v>
      </c>
      <c r="AK4" s="1">
        <f>Table1[[#This Row],[NWS_pin]]*Table1[[#This Row],[Perc_pop_Euphrates Shiled]]</f>
        <v>0</v>
      </c>
      <c r="AL4" s="1">
        <f>Table1[[#This Row],[NWS_pin]]*Table1[[#This Row],[Perc_Pop_Idleb_NSAG]]</f>
        <v>0</v>
      </c>
      <c r="AM4" s="4">
        <v>0.534338645110637</v>
      </c>
      <c r="AN4" s="4">
        <v>0.465661354889363</v>
      </c>
      <c r="AO4" s="4">
        <v>0.19933906130036</v>
      </c>
      <c r="AP4" s="4">
        <v>0.321012025384183</v>
      </c>
      <c r="AQ4" s="4">
        <v>0.57839296570991605</v>
      </c>
      <c r="AR4" s="4">
        <v>2.8463880726469201E-2</v>
      </c>
      <c r="AS4" s="4">
        <v>1.0037418261176699E-2</v>
      </c>
      <c r="AT4" s="4">
        <v>6.2093709918255399E-2</v>
      </c>
      <c r="AU4" s="4">
        <v>5.94267820103326E-2</v>
      </c>
      <c r="AV4" s="4">
        <v>3.0429534265385701E-2</v>
      </c>
      <c r="AW4" s="4">
        <v>9.2700640597231501E-2</v>
      </c>
      <c r="AX4" s="4">
        <v>8.3938352738050795E-2</v>
      </c>
      <c r="AY4" s="4">
        <v>6.0509189018841503E-2</v>
      </c>
      <c r="AZ4" s="4">
        <v>0.110822927690104</v>
      </c>
      <c r="BA4" s="4">
        <v>7.8009154858386304E-2</v>
      </c>
      <c r="BB4" s="4">
        <v>9.2236977215336705E-2</v>
      </c>
      <c r="BC4" s="4">
        <v>6.1682965791453798E-2</v>
      </c>
      <c r="BD4" s="4">
        <v>4.7319796088448302E-2</v>
      </c>
      <c r="BE4" s="4">
        <v>4.3426688358053703E-2</v>
      </c>
      <c r="BF4" s="4">
        <v>5.17870723356324E-2</v>
      </c>
      <c r="BG4" s="4">
        <v>4.5090946668100401E-2</v>
      </c>
      <c r="BH4" s="4">
        <v>1.8648753035017399E-2</v>
      </c>
      <c r="BI4" s="4">
        <v>7.5432923238201693E-2</v>
      </c>
      <c r="BJ4" s="4">
        <v>1.89881514205999E-2</v>
      </c>
      <c r="BK4" s="4">
        <v>2.1698027377378901E-2</v>
      </c>
      <c r="BL4" s="4">
        <v>1.5878613916661601E-2</v>
      </c>
      <c r="BM4" s="4">
        <v>1.7035962565657599E-2</v>
      </c>
      <c r="BN4" s="4">
        <v>2.75780381243034E-2</v>
      </c>
      <c r="BO4" s="4">
        <v>4.9391065317290796E-3</v>
      </c>
      <c r="BP4" s="4">
        <v>4.62000003926544E-2</v>
      </c>
      <c r="BQ4" s="4">
        <v>4.4585796439906698E-2</v>
      </c>
      <c r="BR4" s="4">
        <v>4.80522725298781E-2</v>
      </c>
      <c r="BS4" s="4">
        <v>0.116877698984214</v>
      </c>
      <c r="BT4" s="4">
        <v>0.15308140361310399</v>
      </c>
      <c r="BU4" s="4">
        <v>7.5334551208975795E-2</v>
      </c>
      <c r="BV4" s="4">
        <v>0.12156683980662</v>
      </c>
      <c r="BW4" s="4">
        <v>0.14682059711949499</v>
      </c>
      <c r="BX4" s="4">
        <v>9.2588574110252106E-2</v>
      </c>
      <c r="BY4" s="4">
        <v>0.103352266207853</v>
      </c>
      <c r="BZ4" s="4">
        <v>9.8963706227646497E-2</v>
      </c>
      <c r="CA4" s="4">
        <v>0.108388065655645</v>
      </c>
      <c r="CB4" s="4">
        <v>4.1288508073044503E-2</v>
      </c>
      <c r="CC4" s="4">
        <v>3.6997415280604802E-2</v>
      </c>
      <c r="CD4" s="4">
        <v>4.6212465547035397E-2</v>
      </c>
      <c r="CE4" s="4">
        <v>3.73983847884879E-2</v>
      </c>
      <c r="CF4" s="4">
        <v>3.01842192761347E-2</v>
      </c>
      <c r="CG4" s="4">
        <v>4.5676519499474599E-2</v>
      </c>
      <c r="CH4" s="4">
        <v>2.6098215903752001E-2</v>
      </c>
      <c r="CI4" s="4">
        <v>3.2439435975919501E-2</v>
      </c>
      <c r="CJ4" s="4">
        <v>1.8821771538907801E-2</v>
      </c>
      <c r="CK4" s="4">
        <v>5.6325275307344901E-2</v>
      </c>
      <c r="CL4" s="4">
        <v>7.6700397698019604E-2</v>
      </c>
      <c r="CM4" s="4">
        <v>3.2945161888263401E-2</v>
      </c>
      <c r="CN4" s="4">
        <v>4.7759705386848199E-2</v>
      </c>
      <c r="CO4" s="4">
        <v>4.4463234675291501E-2</v>
      </c>
      <c r="CP4" s="4">
        <v>5.1542350597075202E-2</v>
      </c>
      <c r="CQ4" s="4">
        <v>5.3323958799605303E-2</v>
      </c>
      <c r="CR4" s="4">
        <v>4.1236586299560403E-2</v>
      </c>
      <c r="CS4" s="4">
        <v>6.71940173234786E-2</v>
      </c>
      <c r="CT4" s="1">
        <f>Table1[[#This Row],[Female %]]*Table1[[#This Row],[NWS_pin]]</f>
        <v>0</v>
      </c>
      <c r="CU4" s="1">
        <f>Table1[[#This Row],[Male %]]*Table1[[#This Row],[NWS_pin]]</f>
        <v>0</v>
      </c>
      <c r="CV4" s="1">
        <f>Table1[[#This Row],[Female% (0-2)22]]+Table1[[#This Row],[Male%(0-2)3]]</f>
        <v>0</v>
      </c>
      <c r="CW4" s="1">
        <f>$CT4*Table1[[#This Row],[Female% (0-2)]]</f>
        <v>0</v>
      </c>
      <c r="CX4" s="1">
        <f>$CU4*Table1[[#This Row],[Male%(0-2)]]</f>
        <v>0</v>
      </c>
      <c r="CY4" s="1">
        <f>Table1[[#This Row],[Female%  (3-5)5]]+Table1[[#This Row],[Male% (3-5)6]]</f>
        <v>0</v>
      </c>
      <c r="CZ4" s="1">
        <f>$AF4*Table1[[#This Row],[Female%  (3-5)]]</f>
        <v>0</v>
      </c>
      <c r="DA4" s="1">
        <f>$CU4*Table1[[#This Row],[Male% (3-5)]]</f>
        <v>0</v>
      </c>
      <c r="DB4" s="1">
        <f>Table1[[#This Row],[Female% (6-8)8]]+Table1[[#This Row],[Male%(6-8)9]]</f>
        <v>0</v>
      </c>
      <c r="DC4" s="1">
        <f>$CT4*Table1[[#This Row],[Female% (6-8)]]</f>
        <v>0</v>
      </c>
      <c r="DD4" s="1">
        <f>$CU4*Table1[[#This Row],[Male%(6-8)]]</f>
        <v>0</v>
      </c>
      <c r="DE4" s="1">
        <f>Table1[[#This Row],[Female% (9 - 11)11]]+Table1[[#This Row],[Male% (9 - 11)12]]</f>
        <v>0</v>
      </c>
      <c r="DF4" s="1">
        <f>$CT4*Table1[[#This Row],[Female% (9 - 11)]]</f>
        <v>0</v>
      </c>
      <c r="DG4" s="1">
        <f>$CU4*Table1[[#This Row],[Male% (9 - 11)]]</f>
        <v>0</v>
      </c>
      <c r="DH4" s="1">
        <f>Table1[[#This Row],[Female% (12-14)14]]+Table1[[#This Row],[Male%(12-14)15]]</f>
        <v>0</v>
      </c>
      <c r="DI4" s="1">
        <f>$CT4*Table1[[#This Row],[Female% (12-14)]]</f>
        <v>0</v>
      </c>
      <c r="DJ4" s="1">
        <f>$CU4*Table1[[#This Row],[Male%(12-14)]]</f>
        <v>0</v>
      </c>
      <c r="DK4" s="1">
        <f>Table1[[#This Row],[Female% (15-17)17]]+Table1[[#This Row],[Male%(15-17)18]]</f>
        <v>0</v>
      </c>
      <c r="DL4" s="1">
        <f>$CT4*Table1[[#This Row],[Female% (15-17)]]</f>
        <v>0</v>
      </c>
      <c r="DM4" s="1">
        <f>$CU4*Table1[[#This Row],[Male%(15-17)]]</f>
        <v>0</v>
      </c>
      <c r="DN4" s="1">
        <f>$AF4*Table1[[#This Row],[Total% (18-19)]]</f>
        <v>0</v>
      </c>
      <c r="DO4" s="1">
        <f>$CT4*Table1[[#This Row],[Female% (18-19)]]</f>
        <v>0</v>
      </c>
      <c r="DP4" s="1">
        <f>$CU4*Table1[[#This Row],[Male%(18-19)]]</f>
        <v>0</v>
      </c>
      <c r="DQ4" s="1">
        <f>$AF4*Table1[[#This Row],[Total% (20-24)]]</f>
        <v>0</v>
      </c>
      <c r="DR4" s="1">
        <f>$CT4*Table1[[#This Row],[Female% (20-24)]]</f>
        <v>0</v>
      </c>
      <c r="DS4" s="1">
        <f>$CU4*Table1[[#This Row],[Male% (20-24)]]</f>
        <v>0</v>
      </c>
      <c r="DT4" s="1">
        <f>$AF4*Table1[[#This Row],[Total% (25-29)]]</f>
        <v>0</v>
      </c>
      <c r="DU4" s="1">
        <f>$CT4*Table1[[#This Row],[Female% (25-29)]]</f>
        <v>0</v>
      </c>
      <c r="DV4" s="1">
        <f>$CU4*Table1[[#This Row],[Male% (25-29)]]</f>
        <v>0</v>
      </c>
      <c r="DW4" s="1">
        <f>$AF4*Table1[[#This Row],[Total%   (30-34)]]</f>
        <v>0</v>
      </c>
      <c r="DX4" s="1">
        <f>$CT4*Table1[[#This Row],[Female%   (30-34)]]</f>
        <v>0</v>
      </c>
      <c r="DY4" s="1">
        <f>$CU4*Table1[[#This Row],[Male%  (30-34)]]</f>
        <v>0</v>
      </c>
      <c r="DZ4" s="1">
        <f>$AF4*Table1[[#This Row],[Total% (35-39)]]</f>
        <v>0</v>
      </c>
      <c r="EA4" s="1">
        <f>$CT4*Table1[[#This Row],[Female% (35-39)]]</f>
        <v>0</v>
      </c>
      <c r="EB4" s="1">
        <f>$CU4*Table1[[#This Row],[Male% (35-39)]]</f>
        <v>0</v>
      </c>
      <c r="EC4" s="1">
        <f>$AF4*Table1[[#This Row],[Total% (40-44)]]</f>
        <v>0</v>
      </c>
      <c r="ED4" s="1">
        <f>$CT4*Table1[[#This Row],[Female% (40-44)]]</f>
        <v>0</v>
      </c>
      <c r="EE4" s="1">
        <f>$CU4*Table1[[#This Row],[Male%(55-59)]]</f>
        <v>0</v>
      </c>
      <c r="EF4" s="1">
        <f>$AF4*Table1[[#This Row],[Total% (45-49)]]</f>
        <v>0</v>
      </c>
      <c r="EG4" s="1">
        <f>$CT4*Table1[[#This Row],[Female% (45-49)]]</f>
        <v>0</v>
      </c>
      <c r="EH4" s="1">
        <f>$CU4*Table1[[#This Row],[Male% (45-49)]]</f>
        <v>0</v>
      </c>
      <c r="EI4" s="1">
        <f>$AF4*Table1[[#This Row],[Total% (50-54)]]</f>
        <v>0</v>
      </c>
      <c r="EJ4" s="1">
        <f>$CT4*Table1[[#This Row],[Female%(50-54)]]</f>
        <v>0</v>
      </c>
      <c r="EK4" s="1">
        <f>$CU4*Table1[[#This Row],[Male% (50-54)]]</f>
        <v>0</v>
      </c>
      <c r="EL4" s="1">
        <f>$AF4*Table1[[#This Row],[Total% (55-59)]]</f>
        <v>0</v>
      </c>
      <c r="EM4" s="1">
        <f>$CT4*Table1[[#This Row],[Female% (55-59)]]</f>
        <v>0</v>
      </c>
      <c r="EN4" s="1">
        <f>$CU4*Table1[[#This Row],[Male% (55-59)]]</f>
        <v>0</v>
      </c>
      <c r="EO4" s="1">
        <f>$AF4*Table1[[#This Row],[Total% (60-64)]]</f>
        <v>0</v>
      </c>
      <c r="EP4" s="1">
        <f>$CT4*Table1[[#This Row],[Female%(60-64)]]</f>
        <v>0</v>
      </c>
      <c r="EQ4" s="1">
        <f>$CU4*Table1[[#This Row],[Male%(60-64)]]</f>
        <v>0</v>
      </c>
      <c r="ER4" s="1">
        <f>$AF4*Table1[[#This Row],[Total% (&gt;=65)]]</f>
        <v>0</v>
      </c>
      <c r="ES4" s="1">
        <f>$CT4*Table1[[#This Row],[Female%(&gt;=65)]]</f>
        <v>0</v>
      </c>
      <c r="ET4" s="1">
        <f>$CU4*Table1[[#This Row],[Male% (&gt;=65)]]</f>
        <v>0</v>
      </c>
    </row>
    <row r="5" spans="1:150" x14ac:dyDescent="0.35">
      <c r="A5" t="s">
        <v>54</v>
      </c>
      <c r="B5" t="s">
        <v>55</v>
      </c>
      <c r="C5" t="s">
        <v>148</v>
      </c>
      <c r="D5" t="s">
        <v>149</v>
      </c>
      <c r="E5" t="s">
        <v>312</v>
      </c>
      <c r="F5" t="s">
        <v>313</v>
      </c>
      <c r="G5" t="s">
        <v>1143</v>
      </c>
      <c r="H5">
        <v>5</v>
      </c>
      <c r="I5" s="1">
        <v>0</v>
      </c>
      <c r="J5" s="1">
        <v>11455</v>
      </c>
      <c r="K5" s="1">
        <v>89731</v>
      </c>
      <c r="L5" s="1">
        <v>42002</v>
      </c>
      <c r="M5" s="1">
        <v>47729</v>
      </c>
      <c r="N5" s="1">
        <v>179462</v>
      </c>
      <c r="O5" s="3">
        <v>0.38</v>
      </c>
      <c r="P5" s="3">
        <v>0</v>
      </c>
      <c r="Q5" s="3">
        <v>0.62</v>
      </c>
      <c r="R5" s="3">
        <v>0</v>
      </c>
      <c r="S5" s="3">
        <v>0</v>
      </c>
      <c r="T5" s="1">
        <v>190917</v>
      </c>
      <c r="U5" s="1">
        <v>190365</v>
      </c>
      <c r="V5" s="10">
        <f>Table1[[#This Row],[Pop NW+RATAA]]*Table1[[#This Row],[Perc_pop_Northern_Aleppo]]</f>
        <v>0</v>
      </c>
      <c r="W5" s="10">
        <f>Table1[[#This Row],[Pop NW+RATAA]]*Table1[[#This Row],[Perc_pop_Afrin District]]</f>
        <v>0</v>
      </c>
      <c r="X5" s="10">
        <f>Table1[[#This Row],[Pop NW+RATAA]]*Table1[[#This Row],[Perc_pop_Euphrates Shiled]]</f>
        <v>0</v>
      </c>
      <c r="Y5" s="10">
        <f>Table1[[#This Row],[Pop NW+RATAA]]*Table1[[#This Row],[Perc_Pop_Idleb_NSAG]]</f>
        <v>190365</v>
      </c>
      <c r="Z5" s="3">
        <v>0</v>
      </c>
      <c r="AA5" s="3">
        <v>0</v>
      </c>
      <c r="AB5" s="3">
        <v>0</v>
      </c>
      <c r="AC5" s="3">
        <v>1</v>
      </c>
      <c r="AD5" s="1">
        <v>68195.56</v>
      </c>
      <c r="AE5" s="1">
        <v>0</v>
      </c>
      <c r="AF5" s="1">
        <v>111266.44</v>
      </c>
      <c r="AG5" s="1">
        <v>0</v>
      </c>
      <c r="AH5" s="1">
        <v>0</v>
      </c>
      <c r="AI5" s="1">
        <f>Table1[[#This Row],[NWS_pin]]*Table1[[#This Row],[Perc_pop_Northern_Aleppo]]</f>
        <v>0</v>
      </c>
      <c r="AJ5" s="1">
        <f>Table1[[#This Row],[NWS_pin]]*Table1[[#This Row],[Perc_pop_Afrin District]]</f>
        <v>0</v>
      </c>
      <c r="AK5" s="1">
        <f>Table1[[#This Row],[NWS_pin]]*Table1[[#This Row],[Perc_pop_Euphrates Shiled]]</f>
        <v>0</v>
      </c>
      <c r="AL5" s="1">
        <f>Table1[[#This Row],[NWS_pin]]*Table1[[#This Row],[Perc_Pop_Idleb_NSAG]]</f>
        <v>111266.44</v>
      </c>
      <c r="AM5" s="4">
        <v>0.48531639047235198</v>
      </c>
      <c r="AN5" s="4">
        <v>0.51468360952764802</v>
      </c>
      <c r="AO5" s="4">
        <v>0.15491045506731399</v>
      </c>
      <c r="AP5" s="4">
        <v>0.501003074807155</v>
      </c>
      <c r="AQ5" s="4">
        <v>0.43671917447834202</v>
      </c>
      <c r="AR5" s="4">
        <v>2.0008092967010099E-2</v>
      </c>
      <c r="AS5" s="4">
        <v>0</v>
      </c>
      <c r="AT5" s="4">
        <v>4.2269657747492903E-2</v>
      </c>
      <c r="AU5" s="4">
        <v>5.3813167708732401E-2</v>
      </c>
      <c r="AV5" s="4">
        <v>4.3838811036067203E-2</v>
      </c>
      <c r="AW5" s="4">
        <v>6.3218399754307597E-2</v>
      </c>
      <c r="AX5" s="4">
        <v>0.13141304619871999</v>
      </c>
      <c r="AY5" s="4">
        <v>0.102494847284644</v>
      </c>
      <c r="AZ5" s="4">
        <v>0.15868120795118101</v>
      </c>
      <c r="BA5" s="4">
        <v>9.0952252706696601E-2</v>
      </c>
      <c r="BB5" s="4">
        <v>7.5126669195290499E-2</v>
      </c>
      <c r="BC5" s="4">
        <v>0.10587484772370701</v>
      </c>
      <c r="BD5" s="4">
        <v>7.7025742243139905E-2</v>
      </c>
      <c r="BE5" s="4">
        <v>7.68895391549477E-2</v>
      </c>
      <c r="BF5" s="4">
        <v>7.7154173749232099E-2</v>
      </c>
      <c r="BG5" s="4">
        <v>0.114344534836855</v>
      </c>
      <c r="BH5" s="4">
        <v>0.132015541633594</v>
      </c>
      <c r="BI5" s="4">
        <v>9.7681814136508602E-2</v>
      </c>
      <c r="BJ5" s="4">
        <v>7.1513465882846697E-2</v>
      </c>
      <c r="BK5" s="4">
        <v>8.0590803980555098E-2</v>
      </c>
      <c r="BL5" s="4">
        <v>6.2954069626338705E-2</v>
      </c>
      <c r="BM5" s="4">
        <v>2.7890993223580601E-2</v>
      </c>
      <c r="BN5" s="4">
        <v>2.8646998966045601E-2</v>
      </c>
      <c r="BO5" s="4">
        <v>2.7178124246761699E-2</v>
      </c>
      <c r="BP5" s="4">
        <v>7.0331575859370193E-2</v>
      </c>
      <c r="BQ5" s="4">
        <v>7.4044195647913397E-2</v>
      </c>
      <c r="BR5" s="4">
        <v>6.6830793628077603E-2</v>
      </c>
      <c r="BS5" s="4">
        <v>6.4655877194537498E-2</v>
      </c>
      <c r="BT5" s="4">
        <v>6.5333988930005804E-2</v>
      </c>
      <c r="BU5" s="4">
        <v>6.4016457687674999E-2</v>
      </c>
      <c r="BV5" s="4">
        <v>4.3382123935561102E-2</v>
      </c>
      <c r="BW5" s="4">
        <v>6.04719256297091E-2</v>
      </c>
      <c r="BX5" s="4">
        <v>2.7267445483484601E-2</v>
      </c>
      <c r="BY5" s="4">
        <v>9.0440327173955004E-2</v>
      </c>
      <c r="BZ5" s="4">
        <v>0.120302085740345</v>
      </c>
      <c r="CA5" s="4">
        <v>6.22824441321813E-2</v>
      </c>
      <c r="CB5" s="4">
        <v>5.7532839762273899E-2</v>
      </c>
      <c r="CC5" s="4">
        <v>6.1995499432129703E-2</v>
      </c>
      <c r="CD5" s="4">
        <v>5.3324814010553098E-2</v>
      </c>
      <c r="CE5" s="4">
        <v>3.2168861875665603E-2</v>
      </c>
      <c r="CF5" s="4">
        <v>1.6133851241905601E-2</v>
      </c>
      <c r="CG5" s="4">
        <v>4.7288934358844403E-2</v>
      </c>
      <c r="CH5" s="4">
        <v>2.1003751045409101E-2</v>
      </c>
      <c r="CI5" s="4">
        <v>1.6904060696248401E-2</v>
      </c>
      <c r="CJ5" s="4">
        <v>2.4869518063198901E-2</v>
      </c>
      <c r="CK5" s="4">
        <v>1.2183206189925499E-2</v>
      </c>
      <c r="CL5" s="4">
        <v>9.3980003888618508E-3</v>
      </c>
      <c r="CM5" s="4">
        <v>1.4809491544797E-2</v>
      </c>
      <c r="CN5" s="4">
        <v>2.36417060674118E-2</v>
      </c>
      <c r="CO5" s="4">
        <v>2.4684738210895101E-2</v>
      </c>
      <c r="CP5" s="4">
        <v>2.2658188065961302E-2</v>
      </c>
      <c r="CQ5" s="4">
        <v>1.7706528095319099E-2</v>
      </c>
      <c r="CR5" s="4">
        <v>1.1128442830842E-2</v>
      </c>
      <c r="CS5" s="4">
        <v>2.39092758371897E-2</v>
      </c>
      <c r="CT5" s="1">
        <f>Table1[[#This Row],[Female %]]*Table1[[#This Row],[NWS_pin]]</f>
        <v>53999.427041508527</v>
      </c>
      <c r="CU5" s="1">
        <f>Table1[[#This Row],[Male %]]*Table1[[#This Row],[NWS_pin]]</f>
        <v>57267.012958491476</v>
      </c>
      <c r="CV5" s="1">
        <f>Table1[[#This Row],[Female% (0-2)22]]+Table1[[#This Row],[Male%(0-2)3]]</f>
        <v>5987.5995960736172</v>
      </c>
      <c r="CW5" s="1">
        <f>$CT5*Table1[[#This Row],[Female% (0-2)]]</f>
        <v>2367.2706781285897</v>
      </c>
      <c r="CX5" s="1">
        <f>$CU5*Table1[[#This Row],[Male%(0-2)]]</f>
        <v>3620.3289179450276</v>
      </c>
      <c r="CY5" s="1">
        <f>Table1[[#This Row],[Female%  (3-5)5]]+Table1[[#This Row],[Male% (3-5)6]]</f>
        <v>20491.435567715369</v>
      </c>
      <c r="CZ5" s="1">
        <f>$AF5*Table1[[#This Row],[Female%  (3-5)]]</f>
        <v>11404.236775706006</v>
      </c>
      <c r="DA5" s="1">
        <f>$CU5*Table1[[#This Row],[Male% (3-5)]]</f>
        <v>9087.1987920093634</v>
      </c>
      <c r="DB5" s="1">
        <f>Table1[[#This Row],[Female% (6-8)8]]+Table1[[#This Row],[Male%(6-8)9]]</f>
        <v>10119.933368654476</v>
      </c>
      <c r="DC5" s="1">
        <f>$CT5*Table1[[#This Row],[Female% (6-8)]]</f>
        <v>4056.7970920826356</v>
      </c>
      <c r="DD5" s="1">
        <f>$CU5*Table1[[#This Row],[Male%(6-8)]]</f>
        <v>6063.1362765718404</v>
      </c>
      <c r="DE5" s="1">
        <f>Table1[[#This Row],[Female% (9 - 11)11]]+Table1[[#This Row],[Male% (9 - 11)12]]</f>
        <v>8570.3801277517887</v>
      </c>
      <c r="DF5" s="1">
        <f>$CT5*Table1[[#This Row],[Female% (9 - 11)]]</f>
        <v>4151.9910598528113</v>
      </c>
      <c r="DG5" s="1">
        <f>$CU5*Table1[[#This Row],[Male% (9 - 11)]]</f>
        <v>4418.3890678989774</v>
      </c>
      <c r="DH5" s="1">
        <f>Table1[[#This Row],[Female% (12-14)14]]+Table1[[#This Row],[Male%(12-14)15]]</f>
        <v>12722.709324752885</v>
      </c>
      <c r="DI5" s="1">
        <f>$CT5*Table1[[#This Row],[Female% (12-14)]]</f>
        <v>7128.7636087884903</v>
      </c>
      <c r="DJ5" s="1">
        <f>$CU5*Table1[[#This Row],[Male%(12-14)]]</f>
        <v>5593.9457159643944</v>
      </c>
      <c r="DK5" s="1">
        <f>Table1[[#This Row],[Female% (15-17)17]]+Table1[[#This Row],[Male%(15-17)18]]</f>
        <v>7957.0487608458134</v>
      </c>
      <c r="DL5" s="1">
        <f>$CT5*Table1[[#This Row],[Female% (15-17)]]</f>
        <v>4351.8572397645003</v>
      </c>
      <c r="DM5" s="1">
        <f>$CU5*Table1[[#This Row],[Male%(15-17)]]</f>
        <v>3605.1915210813131</v>
      </c>
      <c r="DN5" s="1">
        <f>$AF5*Table1[[#This Row],[Total% (18-19)]]</f>
        <v>3103.3315240519378</v>
      </c>
      <c r="DO5" s="1">
        <f>$CT5*Table1[[#This Row],[Female% (18-19)]]</f>
        <v>1546.9215306251497</v>
      </c>
      <c r="DP5" s="1">
        <f>$CU5*Table1[[#This Row],[Male%(18-19)]]</f>
        <v>1556.4099934267936</v>
      </c>
      <c r="DQ5" s="1">
        <f>$AF5*Table1[[#This Row],[Total% (20-24)]]</f>
        <v>7825.5440654620625</v>
      </c>
      <c r="DR5" s="1">
        <f>$CT5*Table1[[#This Row],[Female% (20-24)]]</f>
        <v>3998.3441407366827</v>
      </c>
      <c r="DS5" s="1">
        <f>$CU5*Table1[[#This Row],[Male% (20-24)]]</f>
        <v>3827.1999247253898</v>
      </c>
      <c r="DT5" s="1">
        <f>$AF5*Table1[[#This Row],[Total% (25-29)]]</f>
        <v>7194.0292805133749</v>
      </c>
      <c r="DU5" s="1">
        <f>$CT5*Table1[[#This Row],[Female% (25-29)]]</f>
        <v>3527.9979685565741</v>
      </c>
      <c r="DV5" s="1">
        <f>$CU5*Table1[[#This Row],[Male% (25-29)]]</f>
        <v>3666.0313119568054</v>
      </c>
      <c r="DW5" s="1">
        <f>$AF5*Table1[[#This Row],[Total%   (30-34)]]</f>
        <v>4826.9744899486732</v>
      </c>
      <c r="DX5" s="1">
        <f>$CT5*Table1[[#This Row],[Female%   (30-34)]]</f>
        <v>3265.4493361010063</v>
      </c>
      <c r="DY5" s="1">
        <f>$CU5*Table1[[#This Row],[Male%  (30-34)]]</f>
        <v>1561.5251538476725</v>
      </c>
      <c r="DZ5" s="1">
        <f>$AF5*Table1[[#This Row],[Total% (35-39)]]</f>
        <v>10062.973237081234</v>
      </c>
      <c r="EA5" s="1">
        <f>$CT5*Table1[[#This Row],[Female% (35-39)]]</f>
        <v>6496.2437018770634</v>
      </c>
      <c r="EB5" s="1">
        <f>$CU5*Table1[[#This Row],[Male% (35-39)]]</f>
        <v>3566.7295352041479</v>
      </c>
      <c r="EC5" s="1">
        <f>$AF5*Table1[[#This Row],[Total% (40-44)]]</f>
        <v>6401.474263438663</v>
      </c>
      <c r="ED5" s="1">
        <f>$CT5*Table1[[#This Row],[Female% (40-44)]]</f>
        <v>3347.7214484871711</v>
      </c>
      <c r="EE5" s="1">
        <f>$CU5*Table1[[#This Row],[Male%(55-59)]]</f>
        <v>3053.7528149514919</v>
      </c>
      <c r="EF5" s="1">
        <f>$AF5*Table1[[#This Row],[Total% (45-49)]]</f>
        <v>3579.3147397570342</v>
      </c>
      <c r="EG5" s="1">
        <f>$CT5*Table1[[#This Row],[Female% (45-49)]]</f>
        <v>871.21872303583325</v>
      </c>
      <c r="EH5" s="1">
        <f>$CU5*Table1[[#This Row],[Male% (45-49)]]</f>
        <v>2708.0960167211952</v>
      </c>
      <c r="EI5" s="1">
        <f>$AF5*Table1[[#This Row],[Total% (50-54)]]</f>
        <v>2337.012605468949</v>
      </c>
      <c r="EJ5" s="1">
        <f>$CT5*Table1[[#This Row],[Female%(50-54)]]</f>
        <v>912.80959227229732</v>
      </c>
      <c r="EK5" s="1">
        <f>$CU5*Table1[[#This Row],[Male% (50-54)]]</f>
        <v>1424.2030131966494</v>
      </c>
      <c r="EL5" s="1">
        <f>$AF5*Table1[[#This Row],[Total% (55-59)]]</f>
        <v>1355.5819805389742</v>
      </c>
      <c r="EM5" s="1">
        <f>$CT5*Table1[[#This Row],[Female% (55-59)]]</f>
        <v>507.4866363344143</v>
      </c>
      <c r="EN5" s="1">
        <f>$CU5*Table1[[#This Row],[Male% (55-59)]]</f>
        <v>848.09534420455975</v>
      </c>
      <c r="EO5" s="1">
        <f>$AF5*Table1[[#This Row],[Total% (60-64)]]</f>
        <v>2630.5284696473109</v>
      </c>
      <c r="EP5" s="1">
        <f>$CT5*Table1[[#This Row],[Female%(60-64)]]</f>
        <v>1332.9617200579678</v>
      </c>
      <c r="EQ5" s="1">
        <f>$CU5*Table1[[#This Row],[Male%(60-64)]]</f>
        <v>1297.5667495893429</v>
      </c>
      <c r="ER5" s="1">
        <f>$AF5*Table1[[#This Row],[Total% (&gt;=65)]]</f>
        <v>1970.1423459261368</v>
      </c>
      <c r="ES5" s="1">
        <f>$CT5*Table1[[#This Row],[Female%(&gt;=65)]]</f>
        <v>600.9295367296512</v>
      </c>
      <c r="ET5" s="1">
        <f>$CU5*Table1[[#This Row],[Male% (&gt;=65)]]</f>
        <v>1369.2128091964896</v>
      </c>
    </row>
    <row r="6" spans="1:150" hidden="1" x14ac:dyDescent="0.35">
      <c r="A6" t="s">
        <v>54</v>
      </c>
      <c r="B6" t="s">
        <v>55</v>
      </c>
      <c r="C6" t="s">
        <v>148</v>
      </c>
      <c r="D6" t="s">
        <v>149</v>
      </c>
      <c r="E6" t="s">
        <v>538</v>
      </c>
      <c r="F6" t="s">
        <v>539</v>
      </c>
      <c r="H6">
        <v>3</v>
      </c>
      <c r="I6" s="1">
        <v>0</v>
      </c>
      <c r="J6" s="1">
        <v>2606</v>
      </c>
      <c r="K6" s="1">
        <v>7827</v>
      </c>
      <c r="L6" s="1">
        <v>0</v>
      </c>
      <c r="M6" s="1">
        <v>0</v>
      </c>
      <c r="N6" s="1">
        <v>7827</v>
      </c>
      <c r="O6" s="3">
        <v>1</v>
      </c>
      <c r="P6" s="3">
        <v>0</v>
      </c>
      <c r="Q6" s="3">
        <v>0</v>
      </c>
      <c r="R6" s="3">
        <v>0</v>
      </c>
      <c r="S6" s="3">
        <v>0</v>
      </c>
      <c r="T6" s="1">
        <v>10433</v>
      </c>
      <c r="U6" s="1">
        <v>0</v>
      </c>
      <c r="V6" s="10">
        <f>Table1[[#This Row],[Pop NW+RATAA]]*Table1[[#This Row],[Perc_pop_Northern_Aleppo]]</f>
        <v>0</v>
      </c>
      <c r="W6" s="10">
        <f>Table1[[#This Row],[Pop NW+RATAA]]*Table1[[#This Row],[Perc_pop_Afrin District]]</f>
        <v>0</v>
      </c>
      <c r="X6" s="10">
        <f>Table1[[#This Row],[Pop NW+RATAA]]*Table1[[#This Row],[Perc_pop_Euphrates Shiled]]</f>
        <v>0</v>
      </c>
      <c r="Y6" s="10">
        <f>Table1[[#This Row],[Pop NW+RATAA]]*Table1[[#This Row],[Perc_Pop_Idleb_NSAG]]</f>
        <v>0</v>
      </c>
      <c r="Z6" s="3">
        <v>0</v>
      </c>
      <c r="AA6" s="3">
        <v>0</v>
      </c>
      <c r="AB6" s="3">
        <v>0</v>
      </c>
      <c r="AC6" s="3">
        <v>0</v>
      </c>
      <c r="AD6" s="1">
        <v>7827</v>
      </c>
      <c r="AE6" s="1">
        <v>0</v>
      </c>
      <c r="AF6" s="1">
        <v>0</v>
      </c>
      <c r="AG6" s="1">
        <v>0</v>
      </c>
      <c r="AH6" s="1">
        <v>0</v>
      </c>
      <c r="AI6" s="1">
        <f>Table1[[#This Row],[NWS_pin]]*Table1[[#This Row],[Perc_pop_Northern_Aleppo]]</f>
        <v>0</v>
      </c>
      <c r="AJ6" s="1">
        <f>Table1[[#This Row],[NWS_pin]]*Table1[[#This Row],[Perc_pop_Afrin District]]</f>
        <v>0</v>
      </c>
      <c r="AK6" s="1">
        <f>Table1[[#This Row],[NWS_pin]]*Table1[[#This Row],[Perc_pop_Euphrates Shiled]]</f>
        <v>0</v>
      </c>
      <c r="AL6" s="1">
        <f>Table1[[#This Row],[NWS_pin]]*Table1[[#This Row],[Perc_Pop_Idleb_NSAG]]</f>
        <v>0</v>
      </c>
      <c r="AM6" s="4">
        <v>0.48418896775074</v>
      </c>
      <c r="AN6" s="4">
        <v>0.51581103224925995</v>
      </c>
      <c r="AO6" s="4">
        <v>0.25039927191591799</v>
      </c>
      <c r="AP6" s="4">
        <v>0.324790386453639</v>
      </c>
      <c r="AQ6" s="4">
        <v>0.64209886658473303</v>
      </c>
      <c r="AR6" s="4">
        <v>9.6613409804724697E-3</v>
      </c>
      <c r="AS6" s="4">
        <v>1.2290045063498599E-3</v>
      </c>
      <c r="AT6" s="4">
        <v>2.2220401474805401E-2</v>
      </c>
      <c r="AU6" s="4">
        <v>9.4471292748247906E-2</v>
      </c>
      <c r="AV6" s="4">
        <v>0.107264367816092</v>
      </c>
      <c r="AW6" s="4">
        <v>8.2462503823268404E-2</v>
      </c>
      <c r="AX6" s="4">
        <v>0.14913213785520499</v>
      </c>
      <c r="AY6" s="4">
        <v>0.13632983508245899</v>
      </c>
      <c r="AZ6" s="4">
        <v>0.161149588775822</v>
      </c>
      <c r="BA6" s="4">
        <v>5.9730673818757997E-2</v>
      </c>
      <c r="BB6" s="4">
        <v>2.54272863568216E-2</v>
      </c>
      <c r="BC6" s="4">
        <v>9.1931074211749994E-2</v>
      </c>
      <c r="BD6" s="4">
        <v>3.2295718714520701E-2</v>
      </c>
      <c r="BE6" s="4">
        <v>3.49325337331335E-2</v>
      </c>
      <c r="BF6" s="4">
        <v>2.9820555016597201E-2</v>
      </c>
      <c r="BG6" s="4">
        <v>5.6140755015384701E-2</v>
      </c>
      <c r="BH6" s="4">
        <v>5.3233383308345802E-2</v>
      </c>
      <c r="BI6" s="4">
        <v>5.8869888782765202E-2</v>
      </c>
      <c r="BJ6" s="4">
        <v>6.4815020940386395E-2</v>
      </c>
      <c r="BK6" s="4">
        <v>3.3903048475762101E-2</v>
      </c>
      <c r="BL6" s="4">
        <v>9.3831918802223996E-2</v>
      </c>
      <c r="BM6" s="4">
        <v>4.0029191682693401E-2</v>
      </c>
      <c r="BN6" s="4">
        <v>5.2297851074462803E-2</v>
      </c>
      <c r="BO6" s="4">
        <v>2.85126688571101E-2</v>
      </c>
      <c r="BP6" s="4">
        <v>6.6697574748033006E-2</v>
      </c>
      <c r="BQ6" s="4">
        <v>0.12578710644677699</v>
      </c>
      <c r="BR6" s="4">
        <v>1.1230557624863699E-2</v>
      </c>
      <c r="BS6" s="4">
        <v>0.122339864359336</v>
      </c>
      <c r="BT6" s="4">
        <v>0.13141429285357301</v>
      </c>
      <c r="BU6" s="4">
        <v>0.113821748439262</v>
      </c>
      <c r="BV6" s="4">
        <v>6.9784188677382605E-2</v>
      </c>
      <c r="BW6" s="4">
        <v>5.0548725637181401E-2</v>
      </c>
      <c r="BX6" s="4">
        <v>8.7840411618232306E-2</v>
      </c>
      <c r="BY6" s="4">
        <v>2.7664345979513599E-2</v>
      </c>
      <c r="BZ6" s="4">
        <v>1.8720639680159901E-2</v>
      </c>
      <c r="CA6" s="4">
        <v>3.6059753697077097E-2</v>
      </c>
      <c r="CB6" s="4">
        <v>1.95756559175587E-2</v>
      </c>
      <c r="CC6" s="4">
        <v>2.7216391804097999E-2</v>
      </c>
      <c r="CD6" s="4">
        <v>1.2403339331720799E-2</v>
      </c>
      <c r="CE6" s="4">
        <v>2.12791493373314E-2</v>
      </c>
      <c r="CF6" s="4">
        <v>3.4622688655672203E-2</v>
      </c>
      <c r="CG6" s="4">
        <v>8.7536426599814903E-3</v>
      </c>
      <c r="CH6" s="4">
        <v>4.2159526351397802E-2</v>
      </c>
      <c r="CI6" s="4">
        <v>4.2404797601199397E-2</v>
      </c>
      <c r="CJ6" s="4">
        <v>4.1929291583555503E-2</v>
      </c>
      <c r="CK6" s="4">
        <v>6.4940847158892395E-2</v>
      </c>
      <c r="CL6" s="4">
        <v>9.1844077961019496E-2</v>
      </c>
      <c r="CM6" s="4">
        <v>3.9686932960044698E-2</v>
      </c>
      <c r="CN6" s="4">
        <v>5.7087355336144799E-2</v>
      </c>
      <c r="CO6" s="4">
        <v>3.4052973513243399E-2</v>
      </c>
      <c r="CP6" s="4">
        <v>7.8709602361325598E-2</v>
      </c>
      <c r="CQ6" s="4">
        <v>1.18567013592135E-2</v>
      </c>
      <c r="CR6" s="4">
        <v>0</v>
      </c>
      <c r="CS6" s="4">
        <v>2.2986521454399399E-2</v>
      </c>
      <c r="CT6" s="1">
        <f>Table1[[#This Row],[Female %]]*Table1[[#This Row],[NWS_pin]]</f>
        <v>0</v>
      </c>
      <c r="CU6" s="1">
        <f>Table1[[#This Row],[Male %]]*Table1[[#This Row],[NWS_pin]]</f>
        <v>0</v>
      </c>
      <c r="CV6" s="1">
        <f>Table1[[#This Row],[Female% (0-2)22]]+Table1[[#This Row],[Male%(0-2)3]]</f>
        <v>0</v>
      </c>
      <c r="CW6" s="1">
        <f>$CT6*Table1[[#This Row],[Female% (0-2)]]</f>
        <v>0</v>
      </c>
      <c r="CX6" s="1">
        <f>$CU6*Table1[[#This Row],[Male%(0-2)]]</f>
        <v>0</v>
      </c>
      <c r="CY6" s="1">
        <f>Table1[[#This Row],[Female%  (3-5)5]]+Table1[[#This Row],[Male% (3-5)6]]</f>
        <v>0</v>
      </c>
      <c r="CZ6" s="1">
        <f>$AF6*Table1[[#This Row],[Female%  (3-5)]]</f>
        <v>0</v>
      </c>
      <c r="DA6" s="1">
        <f>$CU6*Table1[[#This Row],[Male% (3-5)]]</f>
        <v>0</v>
      </c>
      <c r="DB6" s="1">
        <f>Table1[[#This Row],[Female% (6-8)8]]+Table1[[#This Row],[Male%(6-8)9]]</f>
        <v>0</v>
      </c>
      <c r="DC6" s="1">
        <f>$CT6*Table1[[#This Row],[Female% (6-8)]]</f>
        <v>0</v>
      </c>
      <c r="DD6" s="1">
        <f>$CU6*Table1[[#This Row],[Male%(6-8)]]</f>
        <v>0</v>
      </c>
      <c r="DE6" s="1">
        <f>Table1[[#This Row],[Female% (9 - 11)11]]+Table1[[#This Row],[Male% (9 - 11)12]]</f>
        <v>0</v>
      </c>
      <c r="DF6" s="1">
        <f>$CT6*Table1[[#This Row],[Female% (9 - 11)]]</f>
        <v>0</v>
      </c>
      <c r="DG6" s="1">
        <f>$CU6*Table1[[#This Row],[Male% (9 - 11)]]</f>
        <v>0</v>
      </c>
      <c r="DH6" s="1">
        <f>Table1[[#This Row],[Female% (12-14)14]]+Table1[[#This Row],[Male%(12-14)15]]</f>
        <v>0</v>
      </c>
      <c r="DI6" s="1">
        <f>$CT6*Table1[[#This Row],[Female% (12-14)]]</f>
        <v>0</v>
      </c>
      <c r="DJ6" s="1">
        <f>$CU6*Table1[[#This Row],[Male%(12-14)]]</f>
        <v>0</v>
      </c>
      <c r="DK6" s="1">
        <f>Table1[[#This Row],[Female% (15-17)17]]+Table1[[#This Row],[Male%(15-17)18]]</f>
        <v>0</v>
      </c>
      <c r="DL6" s="1">
        <f>$CT6*Table1[[#This Row],[Female% (15-17)]]</f>
        <v>0</v>
      </c>
      <c r="DM6" s="1">
        <f>$CU6*Table1[[#This Row],[Male%(15-17)]]</f>
        <v>0</v>
      </c>
      <c r="DN6" s="1">
        <f>$AF6*Table1[[#This Row],[Total% (18-19)]]</f>
        <v>0</v>
      </c>
      <c r="DO6" s="1">
        <f>$CT6*Table1[[#This Row],[Female% (18-19)]]</f>
        <v>0</v>
      </c>
      <c r="DP6" s="1">
        <f>$CU6*Table1[[#This Row],[Male%(18-19)]]</f>
        <v>0</v>
      </c>
      <c r="DQ6" s="1">
        <f>$AF6*Table1[[#This Row],[Total% (20-24)]]</f>
        <v>0</v>
      </c>
      <c r="DR6" s="1">
        <f>$CT6*Table1[[#This Row],[Female% (20-24)]]</f>
        <v>0</v>
      </c>
      <c r="DS6" s="1">
        <f>$CU6*Table1[[#This Row],[Male% (20-24)]]</f>
        <v>0</v>
      </c>
      <c r="DT6" s="1">
        <f>$AF6*Table1[[#This Row],[Total% (25-29)]]</f>
        <v>0</v>
      </c>
      <c r="DU6" s="1">
        <f>$CT6*Table1[[#This Row],[Female% (25-29)]]</f>
        <v>0</v>
      </c>
      <c r="DV6" s="1">
        <f>$CU6*Table1[[#This Row],[Male% (25-29)]]</f>
        <v>0</v>
      </c>
      <c r="DW6" s="1">
        <f>$AF6*Table1[[#This Row],[Total%   (30-34)]]</f>
        <v>0</v>
      </c>
      <c r="DX6" s="1">
        <f>$CT6*Table1[[#This Row],[Female%   (30-34)]]</f>
        <v>0</v>
      </c>
      <c r="DY6" s="1">
        <f>$CU6*Table1[[#This Row],[Male%  (30-34)]]</f>
        <v>0</v>
      </c>
      <c r="DZ6" s="1">
        <f>$AF6*Table1[[#This Row],[Total% (35-39)]]</f>
        <v>0</v>
      </c>
      <c r="EA6" s="1">
        <f>$CT6*Table1[[#This Row],[Female% (35-39)]]</f>
        <v>0</v>
      </c>
      <c r="EB6" s="1">
        <f>$CU6*Table1[[#This Row],[Male% (35-39)]]</f>
        <v>0</v>
      </c>
      <c r="EC6" s="1">
        <f>$AF6*Table1[[#This Row],[Total% (40-44)]]</f>
        <v>0</v>
      </c>
      <c r="ED6" s="1">
        <f>$CT6*Table1[[#This Row],[Female% (40-44)]]</f>
        <v>0</v>
      </c>
      <c r="EE6" s="1">
        <f>$CU6*Table1[[#This Row],[Male%(55-59)]]</f>
        <v>0</v>
      </c>
      <c r="EF6" s="1">
        <f>$AF6*Table1[[#This Row],[Total% (45-49)]]</f>
        <v>0</v>
      </c>
      <c r="EG6" s="1">
        <f>$CT6*Table1[[#This Row],[Female% (45-49)]]</f>
        <v>0</v>
      </c>
      <c r="EH6" s="1">
        <f>$CU6*Table1[[#This Row],[Male% (45-49)]]</f>
        <v>0</v>
      </c>
      <c r="EI6" s="1">
        <f>$AF6*Table1[[#This Row],[Total% (50-54)]]</f>
        <v>0</v>
      </c>
      <c r="EJ6" s="1">
        <f>$CT6*Table1[[#This Row],[Female%(50-54)]]</f>
        <v>0</v>
      </c>
      <c r="EK6" s="1">
        <f>$CU6*Table1[[#This Row],[Male% (50-54)]]</f>
        <v>0</v>
      </c>
      <c r="EL6" s="1">
        <f>$AF6*Table1[[#This Row],[Total% (55-59)]]</f>
        <v>0</v>
      </c>
      <c r="EM6" s="1">
        <f>$CT6*Table1[[#This Row],[Female% (55-59)]]</f>
        <v>0</v>
      </c>
      <c r="EN6" s="1">
        <f>$CU6*Table1[[#This Row],[Male% (55-59)]]</f>
        <v>0</v>
      </c>
      <c r="EO6" s="1">
        <f>$AF6*Table1[[#This Row],[Total% (60-64)]]</f>
        <v>0</v>
      </c>
      <c r="EP6" s="1">
        <f>$CT6*Table1[[#This Row],[Female%(60-64)]]</f>
        <v>0</v>
      </c>
      <c r="EQ6" s="1">
        <f>$CU6*Table1[[#This Row],[Male%(60-64)]]</f>
        <v>0</v>
      </c>
      <c r="ER6" s="1">
        <f>$AF6*Table1[[#This Row],[Total% (&gt;=65)]]</f>
        <v>0</v>
      </c>
      <c r="ES6" s="1">
        <f>$CT6*Table1[[#This Row],[Female%(&gt;=65)]]</f>
        <v>0</v>
      </c>
      <c r="ET6" s="1">
        <f>$CU6*Table1[[#This Row],[Male% (&gt;=65)]]</f>
        <v>0</v>
      </c>
    </row>
    <row r="7" spans="1:150" hidden="1" x14ac:dyDescent="0.35">
      <c r="A7" t="s">
        <v>54</v>
      </c>
      <c r="B7" t="s">
        <v>55</v>
      </c>
      <c r="C7" t="s">
        <v>148</v>
      </c>
      <c r="D7" t="s">
        <v>149</v>
      </c>
      <c r="E7" t="s">
        <v>567</v>
      </c>
      <c r="F7" t="s">
        <v>568</v>
      </c>
      <c r="H7">
        <v>4</v>
      </c>
      <c r="I7" s="1">
        <v>0</v>
      </c>
      <c r="J7" s="1">
        <v>347</v>
      </c>
      <c r="K7" s="1">
        <v>3367</v>
      </c>
      <c r="L7" s="1">
        <v>1238</v>
      </c>
      <c r="M7" s="1">
        <v>0</v>
      </c>
      <c r="N7" s="1">
        <v>4605</v>
      </c>
      <c r="O7" s="3">
        <v>0.9</v>
      </c>
      <c r="P7" s="3">
        <v>0</v>
      </c>
      <c r="Q7" s="3">
        <v>0</v>
      </c>
      <c r="R7" s="3">
        <v>0</v>
      </c>
      <c r="S7" s="3">
        <v>0.1</v>
      </c>
      <c r="T7" s="1">
        <v>4952</v>
      </c>
      <c r="U7" s="1">
        <v>0</v>
      </c>
      <c r="V7" s="10">
        <f>Table1[[#This Row],[Pop NW+RATAA]]*Table1[[#This Row],[Perc_pop_Northern_Aleppo]]</f>
        <v>0</v>
      </c>
      <c r="W7" s="10">
        <f>Table1[[#This Row],[Pop NW+RATAA]]*Table1[[#This Row],[Perc_pop_Afrin District]]</f>
        <v>0</v>
      </c>
      <c r="X7" s="10">
        <f>Table1[[#This Row],[Pop NW+RATAA]]*Table1[[#This Row],[Perc_pop_Euphrates Shiled]]</f>
        <v>0</v>
      </c>
      <c r="Y7" s="10">
        <f>Table1[[#This Row],[Pop NW+RATAA]]*Table1[[#This Row],[Perc_Pop_Idleb_NSAG]]</f>
        <v>0</v>
      </c>
      <c r="Z7" s="3">
        <v>0</v>
      </c>
      <c r="AA7" s="3">
        <v>0</v>
      </c>
      <c r="AB7" s="3">
        <v>0</v>
      </c>
      <c r="AC7" s="3">
        <v>0</v>
      </c>
      <c r="AD7" s="1">
        <v>4144.5</v>
      </c>
      <c r="AE7" s="1">
        <v>0</v>
      </c>
      <c r="AF7" s="1">
        <v>0</v>
      </c>
      <c r="AG7" s="1">
        <v>0</v>
      </c>
      <c r="AH7" s="1">
        <v>460.5</v>
      </c>
      <c r="AI7" s="1">
        <f>Table1[[#This Row],[NWS_pin]]*Table1[[#This Row],[Perc_pop_Northern_Aleppo]]</f>
        <v>0</v>
      </c>
      <c r="AJ7" s="1">
        <f>Table1[[#This Row],[NWS_pin]]*Table1[[#This Row],[Perc_pop_Afrin District]]</f>
        <v>0</v>
      </c>
      <c r="AK7" s="1">
        <f>Table1[[#This Row],[NWS_pin]]*Table1[[#This Row],[Perc_pop_Euphrates Shiled]]</f>
        <v>0</v>
      </c>
      <c r="AL7" s="1">
        <f>Table1[[#This Row],[NWS_pin]]*Table1[[#This Row],[Perc_Pop_Idleb_NSAG]]</f>
        <v>0</v>
      </c>
      <c r="AM7" s="4">
        <v>0.42661037933370299</v>
      </c>
      <c r="AN7" s="4">
        <v>0.57338962066629795</v>
      </c>
      <c r="AO7" s="4">
        <v>8.1762395679921399E-2</v>
      </c>
      <c r="AP7" s="4">
        <v>0.41748131549481199</v>
      </c>
      <c r="AQ7" s="4">
        <v>0.52843839725763697</v>
      </c>
      <c r="AR7" s="4">
        <v>1.5610328067452601E-2</v>
      </c>
      <c r="AS7" s="4">
        <v>0</v>
      </c>
      <c r="AT7" s="4">
        <v>3.8469959180099003E-2</v>
      </c>
      <c r="AU7" s="4">
        <v>3.4640391561960103E-2</v>
      </c>
      <c r="AV7" s="4">
        <v>2.7787252758262999E-2</v>
      </c>
      <c r="AW7" s="4">
        <v>3.9739228442324998E-2</v>
      </c>
      <c r="AX7" s="4">
        <v>4.0394029140543498E-2</v>
      </c>
      <c r="AY7" s="4">
        <v>2.0819581309821301E-2</v>
      </c>
      <c r="AZ7" s="4">
        <v>5.4957708553868903E-2</v>
      </c>
      <c r="BA7" s="4">
        <v>4.3930582971945097E-2</v>
      </c>
      <c r="BB7" s="4">
        <v>3.3897018954217498E-2</v>
      </c>
      <c r="BC7" s="4">
        <v>5.1395703367214399E-2</v>
      </c>
      <c r="BD7" s="4">
        <v>9.2690239449287698E-2</v>
      </c>
      <c r="BE7" s="4">
        <v>7.9110541220708194E-2</v>
      </c>
      <c r="BF7" s="4">
        <v>0.102793736275407</v>
      </c>
      <c r="BG7" s="4">
        <v>8.3681102317350306E-2</v>
      </c>
      <c r="BH7" s="4">
        <v>0.10478213111179201</v>
      </c>
      <c r="BI7" s="4">
        <v>6.7981624032641005E-2</v>
      </c>
      <c r="BJ7" s="4">
        <v>7.0838721123676507E-2</v>
      </c>
      <c r="BK7" s="4">
        <v>6.8227410827950405E-2</v>
      </c>
      <c r="BL7" s="4">
        <v>7.2781574701185001E-2</v>
      </c>
      <c r="BM7" s="4">
        <v>3.2101867207707302E-2</v>
      </c>
      <c r="BN7" s="4">
        <v>1.3857619406855599E-2</v>
      </c>
      <c r="BO7" s="4">
        <v>4.5675858076141801E-2</v>
      </c>
      <c r="BP7" s="4">
        <v>0.139181189965113</v>
      </c>
      <c r="BQ7" s="4">
        <v>0.133088952508369</v>
      </c>
      <c r="BR7" s="4">
        <v>0.14371390496158001</v>
      </c>
      <c r="BS7" s="4">
        <v>8.9538141469853394E-2</v>
      </c>
      <c r="BT7" s="4">
        <v>0.103512217690603</v>
      </c>
      <c r="BU7" s="4">
        <v>7.9141221570179193E-2</v>
      </c>
      <c r="BV7" s="4">
        <v>6.73988901931072E-2</v>
      </c>
      <c r="BW7" s="4">
        <v>8.8429256153048294E-2</v>
      </c>
      <c r="BX7" s="4">
        <v>5.1751986104973197E-2</v>
      </c>
      <c r="BY7" s="4">
        <v>6.78780260576681E-2</v>
      </c>
      <c r="BZ7" s="4">
        <v>9.4813080531849697E-2</v>
      </c>
      <c r="CA7" s="4">
        <v>4.7837946167048701E-2</v>
      </c>
      <c r="CB7" s="4">
        <v>8.1689050566905397E-2</v>
      </c>
      <c r="CC7" s="4">
        <v>9.3521802359847195E-2</v>
      </c>
      <c r="CD7" s="4">
        <v>7.2885307790601594E-2</v>
      </c>
      <c r="CE7" s="4">
        <v>6.9466921671500606E-2</v>
      </c>
      <c r="CF7" s="4">
        <v>7.9283301016078098E-2</v>
      </c>
      <c r="CG7" s="4">
        <v>6.2163389893217999E-2</v>
      </c>
      <c r="CH7" s="4">
        <v>3.4400587911806002E-2</v>
      </c>
      <c r="CI7" s="4">
        <v>2.40239255740488E-2</v>
      </c>
      <c r="CJ7" s="4">
        <v>4.2120978544242398E-2</v>
      </c>
      <c r="CK7" s="4">
        <v>3.4637091511728703E-2</v>
      </c>
      <c r="CL7" s="4">
        <v>2.8046392451317799E-2</v>
      </c>
      <c r="CM7" s="4">
        <v>3.9540669331935598E-2</v>
      </c>
      <c r="CN7" s="4">
        <v>1.1439624127421499E-2</v>
      </c>
      <c r="CO7" s="4">
        <v>6.7995161252298398E-3</v>
      </c>
      <c r="CP7" s="4">
        <v>1.48919332792058E-2</v>
      </c>
      <c r="CQ7" s="4">
        <v>6.0935427524257402E-3</v>
      </c>
      <c r="CR7" s="4">
        <v>0</v>
      </c>
      <c r="CS7" s="4">
        <v>1.0627228908233199E-2</v>
      </c>
      <c r="CT7" s="1">
        <f>Table1[[#This Row],[Female %]]*Table1[[#This Row],[NWS_pin]]</f>
        <v>0</v>
      </c>
      <c r="CU7" s="1">
        <f>Table1[[#This Row],[Male %]]*Table1[[#This Row],[NWS_pin]]</f>
        <v>0</v>
      </c>
      <c r="CV7" s="1">
        <f>Table1[[#This Row],[Female% (0-2)22]]+Table1[[#This Row],[Male%(0-2)3]]</f>
        <v>0</v>
      </c>
      <c r="CW7" s="1">
        <f>$CT7*Table1[[#This Row],[Female% (0-2)]]</f>
        <v>0</v>
      </c>
      <c r="CX7" s="1">
        <f>$CU7*Table1[[#This Row],[Male%(0-2)]]</f>
        <v>0</v>
      </c>
      <c r="CY7" s="1">
        <f>Table1[[#This Row],[Female%  (3-5)5]]+Table1[[#This Row],[Male% (3-5)6]]</f>
        <v>0</v>
      </c>
      <c r="CZ7" s="1">
        <f>$AF7*Table1[[#This Row],[Female%  (3-5)]]</f>
        <v>0</v>
      </c>
      <c r="DA7" s="1">
        <f>$CU7*Table1[[#This Row],[Male% (3-5)]]</f>
        <v>0</v>
      </c>
      <c r="DB7" s="1">
        <f>Table1[[#This Row],[Female% (6-8)8]]+Table1[[#This Row],[Male%(6-8)9]]</f>
        <v>0</v>
      </c>
      <c r="DC7" s="1">
        <f>$CT7*Table1[[#This Row],[Female% (6-8)]]</f>
        <v>0</v>
      </c>
      <c r="DD7" s="1">
        <f>$CU7*Table1[[#This Row],[Male%(6-8)]]</f>
        <v>0</v>
      </c>
      <c r="DE7" s="1">
        <f>Table1[[#This Row],[Female% (9 - 11)11]]+Table1[[#This Row],[Male% (9 - 11)12]]</f>
        <v>0</v>
      </c>
      <c r="DF7" s="1">
        <f>$CT7*Table1[[#This Row],[Female% (9 - 11)]]</f>
        <v>0</v>
      </c>
      <c r="DG7" s="1">
        <f>$CU7*Table1[[#This Row],[Male% (9 - 11)]]</f>
        <v>0</v>
      </c>
      <c r="DH7" s="1">
        <f>Table1[[#This Row],[Female% (12-14)14]]+Table1[[#This Row],[Male%(12-14)15]]</f>
        <v>0</v>
      </c>
      <c r="DI7" s="1">
        <f>$CT7*Table1[[#This Row],[Female% (12-14)]]</f>
        <v>0</v>
      </c>
      <c r="DJ7" s="1">
        <f>$CU7*Table1[[#This Row],[Male%(12-14)]]</f>
        <v>0</v>
      </c>
      <c r="DK7" s="1">
        <f>Table1[[#This Row],[Female% (15-17)17]]+Table1[[#This Row],[Male%(15-17)18]]</f>
        <v>0</v>
      </c>
      <c r="DL7" s="1">
        <f>$CT7*Table1[[#This Row],[Female% (15-17)]]</f>
        <v>0</v>
      </c>
      <c r="DM7" s="1">
        <f>$CU7*Table1[[#This Row],[Male%(15-17)]]</f>
        <v>0</v>
      </c>
      <c r="DN7" s="1">
        <f>$AF7*Table1[[#This Row],[Total% (18-19)]]</f>
        <v>0</v>
      </c>
      <c r="DO7" s="1">
        <f>$CT7*Table1[[#This Row],[Female% (18-19)]]</f>
        <v>0</v>
      </c>
      <c r="DP7" s="1">
        <f>$CU7*Table1[[#This Row],[Male%(18-19)]]</f>
        <v>0</v>
      </c>
      <c r="DQ7" s="1">
        <f>$AF7*Table1[[#This Row],[Total% (20-24)]]</f>
        <v>0</v>
      </c>
      <c r="DR7" s="1">
        <f>$CT7*Table1[[#This Row],[Female% (20-24)]]</f>
        <v>0</v>
      </c>
      <c r="DS7" s="1">
        <f>$CU7*Table1[[#This Row],[Male% (20-24)]]</f>
        <v>0</v>
      </c>
      <c r="DT7" s="1">
        <f>$AF7*Table1[[#This Row],[Total% (25-29)]]</f>
        <v>0</v>
      </c>
      <c r="DU7" s="1">
        <f>$CT7*Table1[[#This Row],[Female% (25-29)]]</f>
        <v>0</v>
      </c>
      <c r="DV7" s="1">
        <f>$CU7*Table1[[#This Row],[Male% (25-29)]]</f>
        <v>0</v>
      </c>
      <c r="DW7" s="1">
        <f>$AF7*Table1[[#This Row],[Total%   (30-34)]]</f>
        <v>0</v>
      </c>
      <c r="DX7" s="1">
        <f>$CT7*Table1[[#This Row],[Female%   (30-34)]]</f>
        <v>0</v>
      </c>
      <c r="DY7" s="1">
        <f>$CU7*Table1[[#This Row],[Male%  (30-34)]]</f>
        <v>0</v>
      </c>
      <c r="DZ7" s="1">
        <f>$AF7*Table1[[#This Row],[Total% (35-39)]]</f>
        <v>0</v>
      </c>
      <c r="EA7" s="1">
        <f>$CT7*Table1[[#This Row],[Female% (35-39)]]</f>
        <v>0</v>
      </c>
      <c r="EB7" s="1">
        <f>$CU7*Table1[[#This Row],[Male% (35-39)]]</f>
        <v>0</v>
      </c>
      <c r="EC7" s="1">
        <f>$AF7*Table1[[#This Row],[Total% (40-44)]]</f>
        <v>0</v>
      </c>
      <c r="ED7" s="1">
        <f>$CT7*Table1[[#This Row],[Female% (40-44)]]</f>
        <v>0</v>
      </c>
      <c r="EE7" s="1">
        <f>$CU7*Table1[[#This Row],[Male%(55-59)]]</f>
        <v>0</v>
      </c>
      <c r="EF7" s="1">
        <f>$AF7*Table1[[#This Row],[Total% (45-49)]]</f>
        <v>0</v>
      </c>
      <c r="EG7" s="1">
        <f>$CT7*Table1[[#This Row],[Female% (45-49)]]</f>
        <v>0</v>
      </c>
      <c r="EH7" s="1">
        <f>$CU7*Table1[[#This Row],[Male% (45-49)]]</f>
        <v>0</v>
      </c>
      <c r="EI7" s="1">
        <f>$AF7*Table1[[#This Row],[Total% (50-54)]]</f>
        <v>0</v>
      </c>
      <c r="EJ7" s="1">
        <f>$CT7*Table1[[#This Row],[Female%(50-54)]]</f>
        <v>0</v>
      </c>
      <c r="EK7" s="1">
        <f>$CU7*Table1[[#This Row],[Male% (50-54)]]</f>
        <v>0</v>
      </c>
      <c r="EL7" s="1">
        <f>$AF7*Table1[[#This Row],[Total% (55-59)]]</f>
        <v>0</v>
      </c>
      <c r="EM7" s="1">
        <f>$CT7*Table1[[#This Row],[Female% (55-59)]]</f>
        <v>0</v>
      </c>
      <c r="EN7" s="1">
        <f>$CU7*Table1[[#This Row],[Male% (55-59)]]</f>
        <v>0</v>
      </c>
      <c r="EO7" s="1">
        <f>$AF7*Table1[[#This Row],[Total% (60-64)]]</f>
        <v>0</v>
      </c>
      <c r="EP7" s="1">
        <f>$CT7*Table1[[#This Row],[Female%(60-64)]]</f>
        <v>0</v>
      </c>
      <c r="EQ7" s="1">
        <f>$CU7*Table1[[#This Row],[Male%(60-64)]]</f>
        <v>0</v>
      </c>
      <c r="ER7" s="1">
        <f>$AF7*Table1[[#This Row],[Total% (&gt;=65)]]</f>
        <v>0</v>
      </c>
      <c r="ES7" s="1">
        <f>$CT7*Table1[[#This Row],[Female%(&gt;=65)]]</f>
        <v>0</v>
      </c>
      <c r="ET7" s="1">
        <f>$CU7*Table1[[#This Row],[Male% (&gt;=65)]]</f>
        <v>0</v>
      </c>
    </row>
    <row r="8" spans="1:150" x14ac:dyDescent="0.35">
      <c r="A8" t="s">
        <v>54</v>
      </c>
      <c r="B8" t="s">
        <v>55</v>
      </c>
      <c r="C8" t="s">
        <v>148</v>
      </c>
      <c r="D8" t="s">
        <v>149</v>
      </c>
      <c r="E8" t="s">
        <v>441</v>
      </c>
      <c r="F8" t="s">
        <v>442</v>
      </c>
      <c r="G8" t="s">
        <v>1143</v>
      </c>
      <c r="H8">
        <v>5</v>
      </c>
      <c r="I8" s="1">
        <v>0</v>
      </c>
      <c r="J8" s="1">
        <v>693</v>
      </c>
      <c r="K8" s="1">
        <v>37377</v>
      </c>
      <c r="L8" s="1">
        <v>13843</v>
      </c>
      <c r="M8" s="1">
        <v>17304</v>
      </c>
      <c r="N8" s="1">
        <v>68524</v>
      </c>
      <c r="O8" s="3">
        <v>0.35</v>
      </c>
      <c r="P8" s="3">
        <v>0</v>
      </c>
      <c r="Q8" s="3">
        <v>0.65</v>
      </c>
      <c r="R8" s="3">
        <v>0</v>
      </c>
      <c r="S8" s="3">
        <v>0</v>
      </c>
      <c r="T8" s="1">
        <v>69217</v>
      </c>
      <c r="U8" s="1">
        <v>67782</v>
      </c>
      <c r="V8" s="10">
        <f>Table1[[#This Row],[Pop NW+RATAA]]*Table1[[#This Row],[Perc_pop_Northern_Aleppo]]</f>
        <v>0</v>
      </c>
      <c r="W8" s="10">
        <f>Table1[[#This Row],[Pop NW+RATAA]]*Table1[[#This Row],[Perc_pop_Afrin District]]</f>
        <v>0</v>
      </c>
      <c r="X8" s="10">
        <f>Table1[[#This Row],[Pop NW+RATAA]]*Table1[[#This Row],[Perc_pop_Euphrates Shiled]]</f>
        <v>0</v>
      </c>
      <c r="Y8" s="10">
        <f>Table1[[#This Row],[Pop NW+RATAA]]*Table1[[#This Row],[Perc_Pop_Idleb_NSAG]]</f>
        <v>67782</v>
      </c>
      <c r="Z8" s="3">
        <v>0</v>
      </c>
      <c r="AA8" s="3">
        <v>0</v>
      </c>
      <c r="AB8" s="3">
        <v>0</v>
      </c>
      <c r="AC8" s="3">
        <v>1</v>
      </c>
      <c r="AD8" s="1">
        <v>23983.399999999998</v>
      </c>
      <c r="AE8" s="1">
        <v>0</v>
      </c>
      <c r="AF8" s="1">
        <v>44540.6</v>
      </c>
      <c r="AG8" s="1">
        <v>0</v>
      </c>
      <c r="AH8" s="1">
        <v>0</v>
      </c>
      <c r="AI8" s="1">
        <f>Table1[[#This Row],[NWS_pin]]*Table1[[#This Row],[Perc_pop_Northern_Aleppo]]</f>
        <v>0</v>
      </c>
      <c r="AJ8" s="1">
        <f>Table1[[#This Row],[NWS_pin]]*Table1[[#This Row],[Perc_pop_Afrin District]]</f>
        <v>0</v>
      </c>
      <c r="AK8" s="1">
        <f>Table1[[#This Row],[NWS_pin]]*Table1[[#This Row],[Perc_pop_Euphrates Shiled]]</f>
        <v>0</v>
      </c>
      <c r="AL8" s="1">
        <f>Table1[[#This Row],[NWS_pin]]*Table1[[#This Row],[Perc_Pop_Idleb_NSAG]]</f>
        <v>44540.6</v>
      </c>
      <c r="AM8" s="4">
        <v>0.51354780887464302</v>
      </c>
      <c r="AN8" s="4">
        <v>0.48645219112535598</v>
      </c>
      <c r="AO8" s="4">
        <v>0.22649549782702</v>
      </c>
      <c r="AP8" s="4">
        <v>0.46963503245972199</v>
      </c>
      <c r="AQ8" s="4">
        <v>0.48986321615538903</v>
      </c>
      <c r="AR8" s="4">
        <v>7.7506642095039801E-3</v>
      </c>
      <c r="AS8" s="4">
        <v>1.14369743204865E-4</v>
      </c>
      <c r="AT8" s="4">
        <v>3.2636717432180197E-2</v>
      </c>
      <c r="AU8" s="4">
        <v>4.8721433665493502E-2</v>
      </c>
      <c r="AV8" s="4">
        <v>5.6284296551664802E-2</v>
      </c>
      <c r="AW8" s="4">
        <v>4.0737315729817897E-2</v>
      </c>
      <c r="AX8" s="4">
        <v>0.13638116366754</v>
      </c>
      <c r="AY8" s="4">
        <v>0.12842326455998701</v>
      </c>
      <c r="AZ8" s="4">
        <v>0.14478232152947601</v>
      </c>
      <c r="BA8" s="4">
        <v>0.117348507952086</v>
      </c>
      <c r="BB8" s="4">
        <v>0.109011149902768</v>
      </c>
      <c r="BC8" s="4">
        <v>0.12615026079880601</v>
      </c>
      <c r="BD8" s="4">
        <v>0.116467508798295</v>
      </c>
      <c r="BE8" s="4">
        <v>9.8564649667496895E-2</v>
      </c>
      <c r="BF8" s="4">
        <v>0.13536756567324401</v>
      </c>
      <c r="BG8" s="4">
        <v>9.56590256778964E-2</v>
      </c>
      <c r="BH8" s="4">
        <v>9.96881476224903E-2</v>
      </c>
      <c r="BI8" s="4">
        <v>9.1405479730147399E-2</v>
      </c>
      <c r="BJ8" s="4">
        <v>5.5859214882157601E-2</v>
      </c>
      <c r="BK8" s="4">
        <v>5.7765366749698802E-2</v>
      </c>
      <c r="BL8" s="4">
        <v>5.3846889451587499E-2</v>
      </c>
      <c r="BM8" s="4">
        <v>2.6058013644494199E-2</v>
      </c>
      <c r="BN8" s="4">
        <v>3.2369825713452101E-2</v>
      </c>
      <c r="BO8" s="4">
        <v>1.9394630649871E-2</v>
      </c>
      <c r="BP8" s="4">
        <v>3.7138210981796801E-2</v>
      </c>
      <c r="BQ8" s="4">
        <v>5.7227659024291902E-2</v>
      </c>
      <c r="BR8" s="4">
        <v>1.5929771155763099E-2</v>
      </c>
      <c r="BS8" s="4">
        <v>6.4979089246981495E-2</v>
      </c>
      <c r="BT8" s="4">
        <v>7.7530452413285295E-2</v>
      </c>
      <c r="BU8" s="4">
        <v>5.1728609199736403E-2</v>
      </c>
      <c r="BV8" s="4">
        <v>6.2571156312034998E-2</v>
      </c>
      <c r="BW8" s="4">
        <v>6.8009437714714405E-2</v>
      </c>
      <c r="BX8" s="4">
        <v>5.68299600560805E-2</v>
      </c>
      <c r="BY8" s="4">
        <v>4.6799907917924398E-2</v>
      </c>
      <c r="BZ8" s="4">
        <v>4.0822666251711701E-2</v>
      </c>
      <c r="CA8" s="4">
        <v>5.3110084779696802E-2</v>
      </c>
      <c r="CB8" s="4">
        <v>6.8595959893551703E-2</v>
      </c>
      <c r="CC8" s="4">
        <v>7.4178698739929105E-2</v>
      </c>
      <c r="CD8" s="4">
        <v>6.2702259845775293E-2</v>
      </c>
      <c r="CE8" s="4">
        <v>4.7043464448427198E-2</v>
      </c>
      <c r="CF8" s="4">
        <v>5.1507031146407999E-2</v>
      </c>
      <c r="CG8" s="4">
        <v>4.2331274968488902E-2</v>
      </c>
      <c r="CH8" s="4">
        <v>2.820832852977E-2</v>
      </c>
      <c r="CI8" s="4">
        <v>2.0144867883283301E-2</v>
      </c>
      <c r="CJ8" s="4">
        <v>3.67209277584227E-2</v>
      </c>
      <c r="CK8" s="4">
        <v>2.1293065366200702E-2</v>
      </c>
      <c r="CL8" s="4">
        <v>5.2325866889541897E-3</v>
      </c>
      <c r="CM8" s="4">
        <v>3.8248120322572403E-2</v>
      </c>
      <c r="CN8" s="4">
        <v>3.7718615572635301E-3</v>
      </c>
      <c r="CO8" s="4">
        <v>7.2755692963885196E-3</v>
      </c>
      <c r="CP8" s="4">
        <v>7.2995635409575896E-5</v>
      </c>
      <c r="CQ8" s="4">
        <v>2.3104087458086901E-2</v>
      </c>
      <c r="CR8" s="4">
        <v>1.5964330073475901E-2</v>
      </c>
      <c r="CS8" s="4">
        <v>3.0641532715104201E-2</v>
      </c>
      <c r="CT8" s="1">
        <f>Table1[[#This Row],[Female %]]*Table1[[#This Row],[NWS_pin]]</f>
        <v>22873.727535961923</v>
      </c>
      <c r="CU8" s="1">
        <f>Table1[[#This Row],[Male %]]*Table1[[#This Row],[NWS_pin]]</f>
        <v>21666.872464038031</v>
      </c>
      <c r="CV8" s="1">
        <f>Table1[[#This Row],[Female% (0-2)22]]+Table1[[#This Row],[Male%(0-2)3]]</f>
        <v>2170.0818883212769</v>
      </c>
      <c r="CW8" s="1">
        <f>$CT8*Table1[[#This Row],[Female% (0-2)]]</f>
        <v>1287.431663876062</v>
      </c>
      <c r="CX8" s="1">
        <f>$CU8*Table1[[#This Row],[Male%(0-2)]]</f>
        <v>882.6502244452148</v>
      </c>
      <c r="CY8" s="1">
        <f>Table1[[#This Row],[Female%  (3-5)5]]+Table1[[#This Row],[Male% (3-5)6]]</f>
        <v>8857.0293530870622</v>
      </c>
      <c r="CZ8" s="1">
        <f>$AF8*Table1[[#This Row],[Female%  (3-5)]]</f>
        <v>5720.0492574605569</v>
      </c>
      <c r="DA8" s="1">
        <f>$CU8*Table1[[#This Row],[Male% (3-5)]]</f>
        <v>3136.9800956265044</v>
      </c>
      <c r="DB8" s="1">
        <f>Table1[[#This Row],[Female% (6-8)8]]+Table1[[#This Row],[Male%(6-8)9]]</f>
        <v>5226.7729532906833</v>
      </c>
      <c r="DC8" s="1">
        <f>$CT8*Table1[[#This Row],[Female% (6-8)]]</f>
        <v>2493.4913412578176</v>
      </c>
      <c r="DD8" s="1">
        <f>$CU8*Table1[[#This Row],[Male%(6-8)]]</f>
        <v>2733.2816120328662</v>
      </c>
      <c r="DE8" s="1">
        <f>Table1[[#This Row],[Female% (9 - 11)11]]+Table1[[#This Row],[Male% (9 - 11)12]]</f>
        <v>5187.5327223813347</v>
      </c>
      <c r="DF8" s="1">
        <f>$CT8*Table1[[#This Row],[Female% (9 - 11)]]</f>
        <v>2254.5409411718638</v>
      </c>
      <c r="DG8" s="1">
        <f>$CU8*Table1[[#This Row],[Male% (9 - 11)]]</f>
        <v>2932.9917812094704</v>
      </c>
      <c r="DH8" s="1">
        <f>Table1[[#This Row],[Female% (12-14)14]]+Table1[[#This Row],[Male%(12-14)15]]</f>
        <v>4260.7103991089107</v>
      </c>
      <c r="DI8" s="1">
        <f>$CT8*Table1[[#This Row],[Female% (12-14)]]</f>
        <v>2280.2395272815934</v>
      </c>
      <c r="DJ8" s="1">
        <f>$CU8*Table1[[#This Row],[Male%(12-14)]]</f>
        <v>1980.4708718273171</v>
      </c>
      <c r="DK8" s="1">
        <f>Table1[[#This Row],[Female% (15-17)17]]+Table1[[#This Row],[Male%(15-17)18]]</f>
        <v>2488.0029463802257</v>
      </c>
      <c r="DL8" s="1">
        <f>$CT8*Table1[[#This Row],[Female% (15-17)]]</f>
        <v>1321.3092600475247</v>
      </c>
      <c r="DM8" s="1">
        <f>$CU8*Table1[[#This Row],[Male%(15-17)]]</f>
        <v>1166.6936863327012</v>
      </c>
      <c r="DN8" s="1">
        <f>$AF8*Table1[[#This Row],[Total% (18-19)]]</f>
        <v>1160.6395625339583</v>
      </c>
      <c r="DO8" s="1">
        <f>$CT8*Table1[[#This Row],[Female% (18-19)]]</f>
        <v>740.41857375607765</v>
      </c>
      <c r="DP8" s="1">
        <f>$CU8*Table1[[#This Row],[Male%(18-19)]]</f>
        <v>420.22098877787801</v>
      </c>
      <c r="DQ8" s="1">
        <f>$AF8*Table1[[#This Row],[Total% (20-24)]]</f>
        <v>1654.1582000558185</v>
      </c>
      <c r="DR8" s="1">
        <f>$CT8*Table1[[#This Row],[Female% (20-24)]]</f>
        <v>1309.0098800425856</v>
      </c>
      <c r="DS8" s="1">
        <f>$CU8*Table1[[#This Row],[Male% (20-24)]]</f>
        <v>345.14832001323077</v>
      </c>
      <c r="DT8" s="1">
        <f>$AF8*Table1[[#This Row],[Total% (25-29)]]</f>
        <v>2894.2076225141041</v>
      </c>
      <c r="DU8" s="1">
        <f>$CT8*Table1[[#This Row],[Female% (25-29)]]</f>
        <v>1773.4104442413493</v>
      </c>
      <c r="DV8" s="1">
        <f>$CU8*Table1[[#This Row],[Male% (25-29)]]</f>
        <v>1120.7971782727529</v>
      </c>
      <c r="DW8" s="1">
        <f>$AF8*Table1[[#This Row],[Total%   (30-34)]]</f>
        <v>2786.9568448318259</v>
      </c>
      <c r="DX8" s="1">
        <f>$CT8*Table1[[#This Row],[Female%   (30-34)]]</f>
        <v>1555.6293481603502</v>
      </c>
      <c r="DY8" s="1">
        <f>$CU8*Table1[[#This Row],[Male%  (30-34)]]</f>
        <v>1231.3274966714719</v>
      </c>
      <c r="DZ8" s="1">
        <f>$AF8*Table1[[#This Row],[Total% (35-39)]]</f>
        <v>2084.4959786091035</v>
      </c>
      <c r="EA8" s="1">
        <f>$CT8*Table1[[#This Row],[Female% (35-39)]]</f>
        <v>933.76654513316146</v>
      </c>
      <c r="EB8" s="1">
        <f>$CU8*Table1[[#This Row],[Male% (35-39)]]</f>
        <v>1150.7294334759381</v>
      </c>
      <c r="EC8" s="1">
        <f>$AF8*Table1[[#This Row],[Total% (40-44)]]</f>
        <v>3055.3052112347291</v>
      </c>
      <c r="ED8" s="1">
        <f>$CT8*Table1[[#This Row],[Female% (40-44)]]</f>
        <v>1696.7433439493404</v>
      </c>
      <c r="EE8" s="1">
        <f>$CU8*Table1[[#This Row],[Male%(55-59)]]</f>
        <v>1358.5618672853861</v>
      </c>
      <c r="EF8" s="1">
        <f>$AF8*Table1[[#This Row],[Total% (45-49)]]</f>
        <v>2095.3441326116163</v>
      </c>
      <c r="EG8" s="1">
        <f>$CT8*Table1[[#This Row],[Female% (45-49)]]</f>
        <v>1178.1577966292411</v>
      </c>
      <c r="EH8" s="1">
        <f>$CU8*Table1[[#This Row],[Male% (45-49)]]</f>
        <v>917.18633598237454</v>
      </c>
      <c r="EI8" s="1">
        <f>$AF8*Table1[[#This Row],[Total% (50-54)]]</f>
        <v>1256.4158777130735</v>
      </c>
      <c r="EJ8" s="1">
        <f>$CT8*Table1[[#This Row],[Female%(50-54)]]</f>
        <v>460.7882192101722</v>
      </c>
      <c r="EK8" s="1">
        <f>$CU8*Table1[[#This Row],[Male% (50-54)]]</f>
        <v>795.62765850289861</v>
      </c>
      <c r="EL8" s="1">
        <f>$AF8*Table1[[#This Row],[Total% (55-59)]]</f>
        <v>948.40590724979893</v>
      </c>
      <c r="EM8" s="1">
        <f>$CT8*Table1[[#This Row],[Female% (55-59)]]</f>
        <v>119.68876223143928</v>
      </c>
      <c r="EN8" s="1">
        <f>$CU8*Table1[[#This Row],[Male% (55-59)]]</f>
        <v>828.71714501835743</v>
      </c>
      <c r="EO8" s="1">
        <f>$AF8*Table1[[#This Row],[Total% (60-64)]]</f>
        <v>168.00097687745199</v>
      </c>
      <c r="EP8" s="1">
        <f>$CT8*Table1[[#This Row],[Female%(60-64)]]</f>
        <v>166.41938975460118</v>
      </c>
      <c r="EQ8" s="1">
        <f>$CU8*Table1[[#This Row],[Male%(60-64)]]</f>
        <v>1.5815871228506995</v>
      </c>
      <c r="ER8" s="1">
        <f>$AF8*Table1[[#This Row],[Total% (&gt;=65)]]</f>
        <v>1029.0699178356654</v>
      </c>
      <c r="ES8" s="1">
        <f>$CT8*Table1[[#This Row],[Female%(&gt;=65)]]</f>
        <v>365.16373639485079</v>
      </c>
      <c r="ET8" s="1">
        <f>$CU8*Table1[[#This Row],[Male% (&gt;=65)]]</f>
        <v>663.90618144081168</v>
      </c>
    </row>
    <row r="9" spans="1:150" hidden="1" x14ac:dyDescent="0.35">
      <c r="A9" t="s">
        <v>54</v>
      </c>
      <c r="B9" t="s">
        <v>55</v>
      </c>
      <c r="C9" t="s">
        <v>148</v>
      </c>
      <c r="D9" t="s">
        <v>149</v>
      </c>
      <c r="E9" t="s">
        <v>606</v>
      </c>
      <c r="F9" t="s">
        <v>607</v>
      </c>
      <c r="H9">
        <v>4</v>
      </c>
      <c r="I9" s="1">
        <v>0</v>
      </c>
      <c r="J9" s="1">
        <v>214</v>
      </c>
      <c r="K9" s="1">
        <v>786</v>
      </c>
      <c r="L9" s="1">
        <v>333</v>
      </c>
      <c r="M9" s="1">
        <v>0</v>
      </c>
      <c r="N9" s="1">
        <v>1119</v>
      </c>
      <c r="O9" s="3">
        <v>1</v>
      </c>
      <c r="P9" s="3">
        <v>0</v>
      </c>
      <c r="Q9" s="3">
        <v>0</v>
      </c>
      <c r="R9" s="3">
        <v>0</v>
      </c>
      <c r="S9" s="3">
        <v>0</v>
      </c>
      <c r="T9" s="1">
        <v>1333</v>
      </c>
      <c r="U9" s="1">
        <v>0</v>
      </c>
      <c r="V9" s="10">
        <f>Table1[[#This Row],[Pop NW+RATAA]]*Table1[[#This Row],[Perc_pop_Northern_Aleppo]]</f>
        <v>0</v>
      </c>
      <c r="W9" s="10">
        <f>Table1[[#This Row],[Pop NW+RATAA]]*Table1[[#This Row],[Perc_pop_Afrin District]]</f>
        <v>0</v>
      </c>
      <c r="X9" s="10">
        <f>Table1[[#This Row],[Pop NW+RATAA]]*Table1[[#This Row],[Perc_pop_Euphrates Shiled]]</f>
        <v>0</v>
      </c>
      <c r="Y9" s="10">
        <f>Table1[[#This Row],[Pop NW+RATAA]]*Table1[[#This Row],[Perc_Pop_Idleb_NSAG]]</f>
        <v>0</v>
      </c>
      <c r="Z9" s="3">
        <v>0</v>
      </c>
      <c r="AA9" s="3">
        <v>0</v>
      </c>
      <c r="AB9" s="3">
        <v>0</v>
      </c>
      <c r="AC9" s="3">
        <v>0</v>
      </c>
      <c r="AD9" s="1">
        <v>1119</v>
      </c>
      <c r="AE9" s="1">
        <v>0</v>
      </c>
      <c r="AF9" s="1">
        <v>0</v>
      </c>
      <c r="AG9" s="1">
        <v>0</v>
      </c>
      <c r="AH9" s="1">
        <v>0</v>
      </c>
      <c r="AI9" s="1">
        <f>Table1[[#This Row],[NWS_pin]]*Table1[[#This Row],[Perc_pop_Northern_Aleppo]]</f>
        <v>0</v>
      </c>
      <c r="AJ9" s="1">
        <f>Table1[[#This Row],[NWS_pin]]*Table1[[#This Row],[Perc_pop_Afrin District]]</f>
        <v>0</v>
      </c>
      <c r="AK9" s="1">
        <f>Table1[[#This Row],[NWS_pin]]*Table1[[#This Row],[Perc_pop_Euphrates Shiled]]</f>
        <v>0</v>
      </c>
      <c r="AL9" s="1">
        <f>Table1[[#This Row],[NWS_pin]]*Table1[[#This Row],[Perc_Pop_Idleb_NSAG]]</f>
        <v>0</v>
      </c>
      <c r="AM9" s="4">
        <v>0.56300091337103297</v>
      </c>
      <c r="AN9" s="4">
        <v>0.43699908662896703</v>
      </c>
      <c r="AO9" s="4">
        <v>0.365720663265306</v>
      </c>
      <c r="AP9" s="4">
        <v>0.384743035373529</v>
      </c>
      <c r="AQ9" s="4">
        <v>0.55515259409238005</v>
      </c>
      <c r="AR9" s="4">
        <v>1.58540250529546E-2</v>
      </c>
      <c r="AS9" s="4">
        <v>1.61056762442714E-3</v>
      </c>
      <c r="AT9" s="4">
        <v>4.2639777856708402E-2</v>
      </c>
      <c r="AU9" s="4">
        <v>5.32568431567194E-2</v>
      </c>
      <c r="AV9" s="4">
        <v>6.4285494160066597E-2</v>
      </c>
      <c r="AW9" s="4">
        <v>3.9048253761184301E-2</v>
      </c>
      <c r="AX9" s="4">
        <v>5.0826557409149299E-2</v>
      </c>
      <c r="AY9" s="4">
        <v>4.9537075762845398E-2</v>
      </c>
      <c r="AZ9" s="4">
        <v>5.2487840846248697E-2</v>
      </c>
      <c r="BA9" s="4">
        <v>5.64121249075165E-2</v>
      </c>
      <c r="BB9" s="4">
        <v>5.3633614066909398E-2</v>
      </c>
      <c r="BC9" s="4">
        <v>5.9991775732739699E-2</v>
      </c>
      <c r="BD9" s="4">
        <v>6.5850705352949096E-2</v>
      </c>
      <c r="BE9" s="4">
        <v>7.4360645056198105E-2</v>
      </c>
      <c r="BF9" s="4">
        <v>5.4887058122881902E-2</v>
      </c>
      <c r="BG9" s="4">
        <v>9.9065436776010901E-2</v>
      </c>
      <c r="BH9" s="4">
        <v>0.11119867220209299</v>
      </c>
      <c r="BI9" s="4">
        <v>8.3433773378897694E-2</v>
      </c>
      <c r="BJ9" s="4">
        <v>8.2473562432070296E-2</v>
      </c>
      <c r="BK9" s="4">
        <v>8.6612838608277606E-2</v>
      </c>
      <c r="BL9" s="4">
        <v>7.7140790947634097E-2</v>
      </c>
      <c r="BM9" s="4">
        <v>1.7697338335186101E-2</v>
      </c>
      <c r="BN9" s="4">
        <v>1.23270362723042E-2</v>
      </c>
      <c r="BO9" s="4">
        <v>2.46160826964253E-2</v>
      </c>
      <c r="BP9" s="4">
        <v>2.9599665882183799E-2</v>
      </c>
      <c r="BQ9" s="4">
        <v>3.09254522481432E-2</v>
      </c>
      <c r="BR9" s="4">
        <v>2.7891609829417401E-2</v>
      </c>
      <c r="BS9" s="4">
        <v>6.9444702633904301E-2</v>
      </c>
      <c r="BT9" s="4">
        <v>8.6643656198958405E-2</v>
      </c>
      <c r="BU9" s="4">
        <v>4.7286700792649197E-2</v>
      </c>
      <c r="BV9" s="4">
        <v>4.9724811346125497E-2</v>
      </c>
      <c r="BW9" s="4">
        <v>4.8997767925932099E-2</v>
      </c>
      <c r="BX9" s="4">
        <v>5.0661486323610699E-2</v>
      </c>
      <c r="BY9" s="4">
        <v>6.7387449017909301E-2</v>
      </c>
      <c r="BZ9" s="4">
        <v>7.6227310548861296E-2</v>
      </c>
      <c r="CA9" s="4">
        <v>5.5998752180139798E-2</v>
      </c>
      <c r="CB9" s="4">
        <v>4.3662109725976297E-2</v>
      </c>
      <c r="CC9" s="4">
        <v>3.62877130265956E-2</v>
      </c>
      <c r="CD9" s="4">
        <v>5.3162797952441103E-2</v>
      </c>
      <c r="CE9" s="4">
        <v>8.6332771926171906E-2</v>
      </c>
      <c r="CF9" s="4">
        <v>7.1217250806760501E-2</v>
      </c>
      <c r="CG9" s="4">
        <v>0.105806616281213</v>
      </c>
      <c r="CH9" s="4">
        <v>8.1161133769818095E-2</v>
      </c>
      <c r="CI9" s="4">
        <v>9.9551824181242601E-2</v>
      </c>
      <c r="CJ9" s="4">
        <v>5.74677764700878E-2</v>
      </c>
      <c r="CK9" s="4">
        <v>4.0780715354176003E-2</v>
      </c>
      <c r="CL9" s="4">
        <v>2.6626398348177101E-2</v>
      </c>
      <c r="CM9" s="4">
        <v>5.9016207478411298E-2</v>
      </c>
      <c r="CN9" s="4">
        <v>7.1722553324385499E-2</v>
      </c>
      <c r="CO9" s="4">
        <v>4.9519465711027798E-2</v>
      </c>
      <c r="CP9" s="4">
        <v>0.100327552713299</v>
      </c>
      <c r="CQ9" s="4">
        <v>3.4601518649747601E-2</v>
      </c>
      <c r="CR9" s="4">
        <v>2.2047784875607001E-2</v>
      </c>
      <c r="CS9" s="4">
        <v>5.0774924492718698E-2</v>
      </c>
      <c r="CT9" s="1">
        <f>Table1[[#This Row],[Female %]]*Table1[[#This Row],[NWS_pin]]</f>
        <v>0</v>
      </c>
      <c r="CU9" s="1">
        <f>Table1[[#This Row],[Male %]]*Table1[[#This Row],[NWS_pin]]</f>
        <v>0</v>
      </c>
      <c r="CV9" s="1">
        <f>Table1[[#This Row],[Female% (0-2)22]]+Table1[[#This Row],[Male%(0-2)3]]</f>
        <v>0</v>
      </c>
      <c r="CW9" s="1">
        <f>$CT9*Table1[[#This Row],[Female% (0-2)]]</f>
        <v>0</v>
      </c>
      <c r="CX9" s="1">
        <f>$CU9*Table1[[#This Row],[Male%(0-2)]]</f>
        <v>0</v>
      </c>
      <c r="CY9" s="1">
        <f>Table1[[#This Row],[Female%  (3-5)5]]+Table1[[#This Row],[Male% (3-5)6]]</f>
        <v>0</v>
      </c>
      <c r="CZ9" s="1">
        <f>$AF9*Table1[[#This Row],[Female%  (3-5)]]</f>
        <v>0</v>
      </c>
      <c r="DA9" s="1">
        <f>$CU9*Table1[[#This Row],[Male% (3-5)]]</f>
        <v>0</v>
      </c>
      <c r="DB9" s="1">
        <f>Table1[[#This Row],[Female% (6-8)8]]+Table1[[#This Row],[Male%(6-8)9]]</f>
        <v>0</v>
      </c>
      <c r="DC9" s="1">
        <f>$CT9*Table1[[#This Row],[Female% (6-8)]]</f>
        <v>0</v>
      </c>
      <c r="DD9" s="1">
        <f>$CU9*Table1[[#This Row],[Male%(6-8)]]</f>
        <v>0</v>
      </c>
      <c r="DE9" s="1">
        <f>Table1[[#This Row],[Female% (9 - 11)11]]+Table1[[#This Row],[Male% (9 - 11)12]]</f>
        <v>0</v>
      </c>
      <c r="DF9" s="1">
        <f>$CT9*Table1[[#This Row],[Female% (9 - 11)]]</f>
        <v>0</v>
      </c>
      <c r="DG9" s="1">
        <f>$CU9*Table1[[#This Row],[Male% (9 - 11)]]</f>
        <v>0</v>
      </c>
      <c r="DH9" s="1">
        <f>Table1[[#This Row],[Female% (12-14)14]]+Table1[[#This Row],[Male%(12-14)15]]</f>
        <v>0</v>
      </c>
      <c r="DI9" s="1">
        <f>$CT9*Table1[[#This Row],[Female% (12-14)]]</f>
        <v>0</v>
      </c>
      <c r="DJ9" s="1">
        <f>$CU9*Table1[[#This Row],[Male%(12-14)]]</f>
        <v>0</v>
      </c>
      <c r="DK9" s="1">
        <f>Table1[[#This Row],[Female% (15-17)17]]+Table1[[#This Row],[Male%(15-17)18]]</f>
        <v>0</v>
      </c>
      <c r="DL9" s="1">
        <f>$CT9*Table1[[#This Row],[Female% (15-17)]]</f>
        <v>0</v>
      </c>
      <c r="DM9" s="1">
        <f>$CU9*Table1[[#This Row],[Male%(15-17)]]</f>
        <v>0</v>
      </c>
      <c r="DN9" s="1">
        <f>$AF9*Table1[[#This Row],[Total% (18-19)]]</f>
        <v>0</v>
      </c>
      <c r="DO9" s="1">
        <f>$CT9*Table1[[#This Row],[Female% (18-19)]]</f>
        <v>0</v>
      </c>
      <c r="DP9" s="1">
        <f>$CU9*Table1[[#This Row],[Male%(18-19)]]</f>
        <v>0</v>
      </c>
      <c r="DQ9" s="1">
        <f>$AF9*Table1[[#This Row],[Total% (20-24)]]</f>
        <v>0</v>
      </c>
      <c r="DR9" s="1">
        <f>$CT9*Table1[[#This Row],[Female% (20-24)]]</f>
        <v>0</v>
      </c>
      <c r="DS9" s="1">
        <f>$CU9*Table1[[#This Row],[Male% (20-24)]]</f>
        <v>0</v>
      </c>
      <c r="DT9" s="1">
        <f>$AF9*Table1[[#This Row],[Total% (25-29)]]</f>
        <v>0</v>
      </c>
      <c r="DU9" s="1">
        <f>$CT9*Table1[[#This Row],[Female% (25-29)]]</f>
        <v>0</v>
      </c>
      <c r="DV9" s="1">
        <f>$CU9*Table1[[#This Row],[Male% (25-29)]]</f>
        <v>0</v>
      </c>
      <c r="DW9" s="1">
        <f>$AF9*Table1[[#This Row],[Total%   (30-34)]]</f>
        <v>0</v>
      </c>
      <c r="DX9" s="1">
        <f>$CT9*Table1[[#This Row],[Female%   (30-34)]]</f>
        <v>0</v>
      </c>
      <c r="DY9" s="1">
        <f>$CU9*Table1[[#This Row],[Male%  (30-34)]]</f>
        <v>0</v>
      </c>
      <c r="DZ9" s="1">
        <f>$AF9*Table1[[#This Row],[Total% (35-39)]]</f>
        <v>0</v>
      </c>
      <c r="EA9" s="1">
        <f>$CT9*Table1[[#This Row],[Female% (35-39)]]</f>
        <v>0</v>
      </c>
      <c r="EB9" s="1">
        <f>$CU9*Table1[[#This Row],[Male% (35-39)]]</f>
        <v>0</v>
      </c>
      <c r="EC9" s="1">
        <f>$AF9*Table1[[#This Row],[Total% (40-44)]]</f>
        <v>0</v>
      </c>
      <c r="ED9" s="1">
        <f>$CT9*Table1[[#This Row],[Female% (40-44)]]</f>
        <v>0</v>
      </c>
      <c r="EE9" s="1">
        <f>$CU9*Table1[[#This Row],[Male%(55-59)]]</f>
        <v>0</v>
      </c>
      <c r="EF9" s="1">
        <f>$AF9*Table1[[#This Row],[Total% (45-49)]]</f>
        <v>0</v>
      </c>
      <c r="EG9" s="1">
        <f>$CT9*Table1[[#This Row],[Female% (45-49)]]</f>
        <v>0</v>
      </c>
      <c r="EH9" s="1">
        <f>$CU9*Table1[[#This Row],[Male% (45-49)]]</f>
        <v>0</v>
      </c>
      <c r="EI9" s="1">
        <f>$AF9*Table1[[#This Row],[Total% (50-54)]]</f>
        <v>0</v>
      </c>
      <c r="EJ9" s="1">
        <f>$CT9*Table1[[#This Row],[Female%(50-54)]]</f>
        <v>0</v>
      </c>
      <c r="EK9" s="1">
        <f>$CU9*Table1[[#This Row],[Male% (50-54)]]</f>
        <v>0</v>
      </c>
      <c r="EL9" s="1">
        <f>$AF9*Table1[[#This Row],[Total% (55-59)]]</f>
        <v>0</v>
      </c>
      <c r="EM9" s="1">
        <f>$CT9*Table1[[#This Row],[Female% (55-59)]]</f>
        <v>0</v>
      </c>
      <c r="EN9" s="1">
        <f>$CU9*Table1[[#This Row],[Male% (55-59)]]</f>
        <v>0</v>
      </c>
      <c r="EO9" s="1">
        <f>$AF9*Table1[[#This Row],[Total% (60-64)]]</f>
        <v>0</v>
      </c>
      <c r="EP9" s="1">
        <f>$CT9*Table1[[#This Row],[Female%(60-64)]]</f>
        <v>0</v>
      </c>
      <c r="EQ9" s="1">
        <f>$CU9*Table1[[#This Row],[Male%(60-64)]]</f>
        <v>0</v>
      </c>
      <c r="ER9" s="1">
        <f>$AF9*Table1[[#This Row],[Total% (&gt;=65)]]</f>
        <v>0</v>
      </c>
      <c r="ES9" s="1">
        <f>$CT9*Table1[[#This Row],[Female%(&gt;=65)]]</f>
        <v>0</v>
      </c>
      <c r="ET9" s="1">
        <f>$CU9*Table1[[#This Row],[Male% (&gt;=65)]]</f>
        <v>0</v>
      </c>
    </row>
    <row r="10" spans="1:150" hidden="1" x14ac:dyDescent="0.35">
      <c r="A10" t="s">
        <v>54</v>
      </c>
      <c r="B10" t="s">
        <v>55</v>
      </c>
      <c r="C10" t="s">
        <v>148</v>
      </c>
      <c r="D10" t="s">
        <v>149</v>
      </c>
      <c r="E10" t="s">
        <v>587</v>
      </c>
      <c r="F10" t="s">
        <v>588</v>
      </c>
      <c r="H10">
        <v>3</v>
      </c>
      <c r="I10" s="1">
        <v>0</v>
      </c>
      <c r="J10" s="1">
        <v>834</v>
      </c>
      <c r="K10" s="1">
        <v>2974</v>
      </c>
      <c r="L10" s="1">
        <v>40</v>
      </c>
      <c r="M10" s="1">
        <v>0</v>
      </c>
      <c r="N10" s="1">
        <v>3014</v>
      </c>
      <c r="O10" s="3">
        <v>1</v>
      </c>
      <c r="P10" s="3">
        <v>0</v>
      </c>
      <c r="Q10" s="3">
        <v>0</v>
      </c>
      <c r="R10" s="3">
        <v>0</v>
      </c>
      <c r="S10" s="3">
        <v>0</v>
      </c>
      <c r="T10" s="1">
        <v>3848</v>
      </c>
      <c r="U10" s="1">
        <v>0</v>
      </c>
      <c r="V10" s="10">
        <f>Table1[[#This Row],[Pop NW+RATAA]]*Table1[[#This Row],[Perc_pop_Northern_Aleppo]]</f>
        <v>0</v>
      </c>
      <c r="W10" s="10">
        <f>Table1[[#This Row],[Pop NW+RATAA]]*Table1[[#This Row],[Perc_pop_Afrin District]]</f>
        <v>0</v>
      </c>
      <c r="X10" s="10">
        <f>Table1[[#This Row],[Pop NW+RATAA]]*Table1[[#This Row],[Perc_pop_Euphrates Shiled]]</f>
        <v>0</v>
      </c>
      <c r="Y10" s="10">
        <f>Table1[[#This Row],[Pop NW+RATAA]]*Table1[[#This Row],[Perc_Pop_Idleb_NSAG]]</f>
        <v>0</v>
      </c>
      <c r="Z10" s="3">
        <v>0</v>
      </c>
      <c r="AA10" s="3">
        <v>0</v>
      </c>
      <c r="AB10" s="3">
        <v>0</v>
      </c>
      <c r="AC10" s="3">
        <v>0</v>
      </c>
      <c r="AD10" s="1">
        <v>3014</v>
      </c>
      <c r="AE10" s="1">
        <v>0</v>
      </c>
      <c r="AF10" s="1">
        <v>0</v>
      </c>
      <c r="AG10" s="1">
        <v>0</v>
      </c>
      <c r="AH10" s="1">
        <v>0</v>
      </c>
      <c r="AI10" s="1">
        <f>Table1[[#This Row],[NWS_pin]]*Table1[[#This Row],[Perc_pop_Northern_Aleppo]]</f>
        <v>0</v>
      </c>
      <c r="AJ10" s="1">
        <f>Table1[[#This Row],[NWS_pin]]*Table1[[#This Row],[Perc_pop_Afrin District]]</f>
        <v>0</v>
      </c>
      <c r="AK10" s="1">
        <f>Table1[[#This Row],[NWS_pin]]*Table1[[#This Row],[Perc_pop_Euphrates Shiled]]</f>
        <v>0</v>
      </c>
      <c r="AL10" s="1">
        <f>Table1[[#This Row],[NWS_pin]]*Table1[[#This Row],[Perc_Pop_Idleb_NSAG]]</f>
        <v>0</v>
      </c>
      <c r="AM10" s="4">
        <v>0.43746157748782499</v>
      </c>
      <c r="AN10" s="4">
        <v>0.56253842251217501</v>
      </c>
      <c r="AO10" s="4">
        <v>0.299568288854003</v>
      </c>
      <c r="AP10" s="4">
        <v>0.33226295906782</v>
      </c>
      <c r="AQ10" s="4">
        <v>0.62442347865967196</v>
      </c>
      <c r="AR10" s="4">
        <v>1.74333206112177E-2</v>
      </c>
      <c r="AS10" s="4">
        <v>0</v>
      </c>
      <c r="AT10" s="4">
        <v>2.5880241661289799E-2</v>
      </c>
      <c r="AU10" s="4">
        <v>0.102168427080367</v>
      </c>
      <c r="AV10" s="4">
        <v>6.5510028287640701E-2</v>
      </c>
      <c r="AW10" s="4">
        <v>0.130676063754192</v>
      </c>
      <c r="AX10" s="4">
        <v>0.125927679274798</v>
      </c>
      <c r="AY10" s="4">
        <v>0.13450390284365199</v>
      </c>
      <c r="AZ10" s="4">
        <v>0.11925832454065501</v>
      </c>
      <c r="BA10" s="4">
        <v>4.6984668584614302E-2</v>
      </c>
      <c r="BB10" s="4">
        <v>1.46487440712934E-2</v>
      </c>
      <c r="BC10" s="4">
        <v>7.2130905678878698E-2</v>
      </c>
      <c r="BD10" s="4">
        <v>2.7796237176339399E-2</v>
      </c>
      <c r="BE10" s="4">
        <v>2.90481634302487E-2</v>
      </c>
      <c r="BF10" s="4">
        <v>2.6822668772802101E-2</v>
      </c>
      <c r="BG10" s="4">
        <v>5.2316955553249597E-2</v>
      </c>
      <c r="BH10" s="4">
        <v>5.0525660931152599E-2</v>
      </c>
      <c r="BI10" s="4">
        <v>5.3709967194354197E-2</v>
      </c>
      <c r="BJ10" s="4">
        <v>0.10463172458948</v>
      </c>
      <c r="BK10" s="4">
        <v>7.25788544568986E-2</v>
      </c>
      <c r="BL10" s="4">
        <v>0.12955784264661199</v>
      </c>
      <c r="BM10" s="4">
        <v>4.3413341945419098E-2</v>
      </c>
      <c r="BN10" s="4">
        <v>2.90481634302487E-2</v>
      </c>
      <c r="BO10" s="4">
        <v>5.4584514264772399E-2</v>
      </c>
      <c r="BP10" s="4">
        <v>6.8227169907049995E-2</v>
      </c>
      <c r="BQ10" s="4">
        <v>0.141478986324096</v>
      </c>
      <c r="BR10" s="4">
        <v>1.1262429577769101E-2</v>
      </c>
      <c r="BS10" s="4">
        <v>9.3141368304207398E-2</v>
      </c>
      <c r="BT10" s="4">
        <v>0.10924043431099401</v>
      </c>
      <c r="BU10" s="4">
        <v>8.0621827363415902E-2</v>
      </c>
      <c r="BV10" s="4">
        <v>5.2807875145784298E-2</v>
      </c>
      <c r="BW10" s="4">
        <v>1.08870195886594E-2</v>
      </c>
      <c r="BX10" s="4">
        <v>8.5407894749355798E-2</v>
      </c>
      <c r="BY10" s="4">
        <v>6.3719060289880499E-3</v>
      </c>
      <c r="BZ10" s="4">
        <v>7.3243720356466801E-3</v>
      </c>
      <c r="CA10" s="4">
        <v>5.6312147888845504E-3</v>
      </c>
      <c r="CB10" s="4">
        <v>7.9304274475621404E-3</v>
      </c>
      <c r="CC10" s="4">
        <v>1.8128283386860101E-2</v>
      </c>
      <c r="CD10" s="4">
        <v>0</v>
      </c>
      <c r="CE10" s="4">
        <v>1.5875230081487099E-2</v>
      </c>
      <c r="CF10" s="4">
        <v>2.1806899632047998E-2</v>
      </c>
      <c r="CG10" s="4">
        <v>1.1262429577769101E-2</v>
      </c>
      <c r="CH10" s="4">
        <v>3.91788260855295E-2</v>
      </c>
      <c r="CI10" s="4">
        <v>7.6874694259523202E-2</v>
      </c>
      <c r="CJ10" s="4">
        <v>9.86439475739837E-3</v>
      </c>
      <c r="CK10" s="4">
        <v>0.103237378033929</v>
      </c>
      <c r="CL10" s="4">
        <v>0.163863389837718</v>
      </c>
      <c r="CM10" s="4">
        <v>5.6091174860745399E-2</v>
      </c>
      <c r="CN10" s="4">
        <v>7.0973458544463103E-2</v>
      </c>
      <c r="CO10" s="4">
        <v>5.4532403173320303E-2</v>
      </c>
      <c r="CP10" s="4">
        <v>8.3758949686748796E-2</v>
      </c>
      <c r="CQ10" s="4">
        <v>3.90173262167322E-2</v>
      </c>
      <c r="CR10" s="4">
        <v>0</v>
      </c>
      <c r="CS10" s="4">
        <v>6.9359397785646801E-2</v>
      </c>
      <c r="CT10" s="1">
        <f>Table1[[#This Row],[Female %]]*Table1[[#This Row],[NWS_pin]]</f>
        <v>0</v>
      </c>
      <c r="CU10" s="1">
        <f>Table1[[#This Row],[Male %]]*Table1[[#This Row],[NWS_pin]]</f>
        <v>0</v>
      </c>
      <c r="CV10" s="1">
        <f>Table1[[#This Row],[Female% (0-2)22]]+Table1[[#This Row],[Male%(0-2)3]]</f>
        <v>0</v>
      </c>
      <c r="CW10" s="1">
        <f>$CT10*Table1[[#This Row],[Female% (0-2)]]</f>
        <v>0</v>
      </c>
      <c r="CX10" s="1">
        <f>$CU10*Table1[[#This Row],[Male%(0-2)]]</f>
        <v>0</v>
      </c>
      <c r="CY10" s="1">
        <f>Table1[[#This Row],[Female%  (3-5)5]]+Table1[[#This Row],[Male% (3-5)6]]</f>
        <v>0</v>
      </c>
      <c r="CZ10" s="1">
        <f>$AF10*Table1[[#This Row],[Female%  (3-5)]]</f>
        <v>0</v>
      </c>
      <c r="DA10" s="1">
        <f>$CU10*Table1[[#This Row],[Male% (3-5)]]</f>
        <v>0</v>
      </c>
      <c r="DB10" s="1">
        <f>Table1[[#This Row],[Female% (6-8)8]]+Table1[[#This Row],[Male%(6-8)9]]</f>
        <v>0</v>
      </c>
      <c r="DC10" s="1">
        <f>$CT10*Table1[[#This Row],[Female% (6-8)]]</f>
        <v>0</v>
      </c>
      <c r="DD10" s="1">
        <f>$CU10*Table1[[#This Row],[Male%(6-8)]]</f>
        <v>0</v>
      </c>
      <c r="DE10" s="1">
        <f>Table1[[#This Row],[Female% (9 - 11)11]]+Table1[[#This Row],[Male% (9 - 11)12]]</f>
        <v>0</v>
      </c>
      <c r="DF10" s="1">
        <f>$CT10*Table1[[#This Row],[Female% (9 - 11)]]</f>
        <v>0</v>
      </c>
      <c r="DG10" s="1">
        <f>$CU10*Table1[[#This Row],[Male% (9 - 11)]]</f>
        <v>0</v>
      </c>
      <c r="DH10" s="1">
        <f>Table1[[#This Row],[Female% (12-14)14]]+Table1[[#This Row],[Male%(12-14)15]]</f>
        <v>0</v>
      </c>
      <c r="DI10" s="1">
        <f>$CT10*Table1[[#This Row],[Female% (12-14)]]</f>
        <v>0</v>
      </c>
      <c r="DJ10" s="1">
        <f>$CU10*Table1[[#This Row],[Male%(12-14)]]</f>
        <v>0</v>
      </c>
      <c r="DK10" s="1">
        <f>Table1[[#This Row],[Female% (15-17)17]]+Table1[[#This Row],[Male%(15-17)18]]</f>
        <v>0</v>
      </c>
      <c r="DL10" s="1">
        <f>$CT10*Table1[[#This Row],[Female% (15-17)]]</f>
        <v>0</v>
      </c>
      <c r="DM10" s="1">
        <f>$CU10*Table1[[#This Row],[Male%(15-17)]]</f>
        <v>0</v>
      </c>
      <c r="DN10" s="1">
        <f>$AF10*Table1[[#This Row],[Total% (18-19)]]</f>
        <v>0</v>
      </c>
      <c r="DO10" s="1">
        <f>$CT10*Table1[[#This Row],[Female% (18-19)]]</f>
        <v>0</v>
      </c>
      <c r="DP10" s="1">
        <f>$CU10*Table1[[#This Row],[Male%(18-19)]]</f>
        <v>0</v>
      </c>
      <c r="DQ10" s="1">
        <f>$AF10*Table1[[#This Row],[Total% (20-24)]]</f>
        <v>0</v>
      </c>
      <c r="DR10" s="1">
        <f>$CT10*Table1[[#This Row],[Female% (20-24)]]</f>
        <v>0</v>
      </c>
      <c r="DS10" s="1">
        <f>$CU10*Table1[[#This Row],[Male% (20-24)]]</f>
        <v>0</v>
      </c>
      <c r="DT10" s="1">
        <f>$AF10*Table1[[#This Row],[Total% (25-29)]]</f>
        <v>0</v>
      </c>
      <c r="DU10" s="1">
        <f>$CT10*Table1[[#This Row],[Female% (25-29)]]</f>
        <v>0</v>
      </c>
      <c r="DV10" s="1">
        <f>$CU10*Table1[[#This Row],[Male% (25-29)]]</f>
        <v>0</v>
      </c>
      <c r="DW10" s="1">
        <f>$AF10*Table1[[#This Row],[Total%   (30-34)]]</f>
        <v>0</v>
      </c>
      <c r="DX10" s="1">
        <f>$CT10*Table1[[#This Row],[Female%   (30-34)]]</f>
        <v>0</v>
      </c>
      <c r="DY10" s="1">
        <f>$CU10*Table1[[#This Row],[Male%  (30-34)]]</f>
        <v>0</v>
      </c>
      <c r="DZ10" s="1">
        <f>$AF10*Table1[[#This Row],[Total% (35-39)]]</f>
        <v>0</v>
      </c>
      <c r="EA10" s="1">
        <f>$CT10*Table1[[#This Row],[Female% (35-39)]]</f>
        <v>0</v>
      </c>
      <c r="EB10" s="1">
        <f>$CU10*Table1[[#This Row],[Male% (35-39)]]</f>
        <v>0</v>
      </c>
      <c r="EC10" s="1">
        <f>$AF10*Table1[[#This Row],[Total% (40-44)]]</f>
        <v>0</v>
      </c>
      <c r="ED10" s="1">
        <f>$CT10*Table1[[#This Row],[Female% (40-44)]]</f>
        <v>0</v>
      </c>
      <c r="EE10" s="1">
        <f>$CU10*Table1[[#This Row],[Male%(55-59)]]</f>
        <v>0</v>
      </c>
      <c r="EF10" s="1">
        <f>$AF10*Table1[[#This Row],[Total% (45-49)]]</f>
        <v>0</v>
      </c>
      <c r="EG10" s="1">
        <f>$CT10*Table1[[#This Row],[Female% (45-49)]]</f>
        <v>0</v>
      </c>
      <c r="EH10" s="1">
        <f>$CU10*Table1[[#This Row],[Male% (45-49)]]</f>
        <v>0</v>
      </c>
      <c r="EI10" s="1">
        <f>$AF10*Table1[[#This Row],[Total% (50-54)]]</f>
        <v>0</v>
      </c>
      <c r="EJ10" s="1">
        <f>$CT10*Table1[[#This Row],[Female%(50-54)]]</f>
        <v>0</v>
      </c>
      <c r="EK10" s="1">
        <f>$CU10*Table1[[#This Row],[Male% (50-54)]]</f>
        <v>0</v>
      </c>
      <c r="EL10" s="1">
        <f>$AF10*Table1[[#This Row],[Total% (55-59)]]</f>
        <v>0</v>
      </c>
      <c r="EM10" s="1">
        <f>$CT10*Table1[[#This Row],[Female% (55-59)]]</f>
        <v>0</v>
      </c>
      <c r="EN10" s="1">
        <f>$CU10*Table1[[#This Row],[Male% (55-59)]]</f>
        <v>0</v>
      </c>
      <c r="EO10" s="1">
        <f>$AF10*Table1[[#This Row],[Total% (60-64)]]</f>
        <v>0</v>
      </c>
      <c r="EP10" s="1">
        <f>$CT10*Table1[[#This Row],[Female%(60-64)]]</f>
        <v>0</v>
      </c>
      <c r="EQ10" s="1">
        <f>$CU10*Table1[[#This Row],[Male%(60-64)]]</f>
        <v>0</v>
      </c>
      <c r="ER10" s="1">
        <f>$AF10*Table1[[#This Row],[Total% (&gt;=65)]]</f>
        <v>0</v>
      </c>
      <c r="ES10" s="1">
        <f>$CT10*Table1[[#This Row],[Female%(&gt;=65)]]</f>
        <v>0</v>
      </c>
      <c r="ET10" s="1">
        <f>$CU10*Table1[[#This Row],[Male% (&gt;=65)]]</f>
        <v>0</v>
      </c>
    </row>
    <row r="11" spans="1:150" x14ac:dyDescent="0.35">
      <c r="A11" t="s">
        <v>54</v>
      </c>
      <c r="B11" t="s">
        <v>55</v>
      </c>
      <c r="C11" t="s">
        <v>112</v>
      </c>
      <c r="D11" t="s">
        <v>113</v>
      </c>
      <c r="E11" t="s">
        <v>112</v>
      </c>
      <c r="F11" t="s">
        <v>445</v>
      </c>
      <c r="G11" t="s">
        <v>1143</v>
      </c>
      <c r="H11">
        <v>4</v>
      </c>
      <c r="I11" s="1">
        <v>0</v>
      </c>
      <c r="J11" s="1">
        <v>8084</v>
      </c>
      <c r="K11" s="1">
        <v>143504</v>
      </c>
      <c r="L11" s="1">
        <v>50530</v>
      </c>
      <c r="M11" s="1">
        <v>0</v>
      </c>
      <c r="N11" s="1">
        <v>194034</v>
      </c>
      <c r="O11" s="3">
        <v>0.23</v>
      </c>
      <c r="P11" s="3">
        <v>0</v>
      </c>
      <c r="Q11" s="3">
        <v>0.68</v>
      </c>
      <c r="R11" s="3">
        <v>0</v>
      </c>
      <c r="S11" s="3">
        <v>0.09</v>
      </c>
      <c r="T11" s="1">
        <v>202118</v>
      </c>
      <c r="U11" s="1">
        <v>197187.5</v>
      </c>
      <c r="V11" s="10">
        <f>Table1[[#This Row],[Pop NW+RATAA]]*Table1[[#This Row],[Perc_pop_Northern_Aleppo]]</f>
        <v>197187.5</v>
      </c>
      <c r="W11" s="10">
        <f>Table1[[#This Row],[Pop NW+RATAA]]*Table1[[#This Row],[Perc_pop_Afrin District]]</f>
        <v>0</v>
      </c>
      <c r="X11" s="10">
        <f>Table1[[#This Row],[Pop NW+RATAA]]*Table1[[#This Row],[Perc_pop_Euphrates Shiled]]</f>
        <v>197187.5</v>
      </c>
      <c r="Y11" s="10">
        <f>Table1[[#This Row],[Pop NW+RATAA]]*Table1[[#This Row],[Perc_Pop_Idleb_NSAG]]</f>
        <v>0</v>
      </c>
      <c r="Z11" s="3">
        <v>1</v>
      </c>
      <c r="AA11" s="3">
        <v>0</v>
      </c>
      <c r="AB11" s="3">
        <v>1</v>
      </c>
      <c r="AC11" s="3">
        <v>0</v>
      </c>
      <c r="AD11" s="1">
        <v>44627.82</v>
      </c>
      <c r="AE11" s="1">
        <v>0</v>
      </c>
      <c r="AF11" s="1">
        <v>131943.12</v>
      </c>
      <c r="AG11" s="1">
        <v>0</v>
      </c>
      <c r="AH11" s="1">
        <v>17463.059999999998</v>
      </c>
      <c r="AI11" s="1">
        <f>Table1[[#This Row],[NWS_pin]]*Table1[[#This Row],[Perc_pop_Northern_Aleppo]]</f>
        <v>131943.12</v>
      </c>
      <c r="AJ11" s="1">
        <f>Table1[[#This Row],[NWS_pin]]*Table1[[#This Row],[Perc_pop_Afrin District]]</f>
        <v>0</v>
      </c>
      <c r="AK11" s="1">
        <f>Table1[[#This Row],[NWS_pin]]*Table1[[#This Row],[Perc_pop_Euphrates Shiled]]</f>
        <v>131943.12</v>
      </c>
      <c r="AL11" s="1">
        <f>Table1[[#This Row],[NWS_pin]]*Table1[[#This Row],[Perc_Pop_Idleb_NSAG]]</f>
        <v>0</v>
      </c>
      <c r="AM11" s="4">
        <v>0.51065355329541096</v>
      </c>
      <c r="AN11" s="4">
        <v>0.48934644670458899</v>
      </c>
      <c r="AO11" s="4">
        <v>0.15411067667853301</v>
      </c>
      <c r="AP11" s="4">
        <v>0.44832306032625602</v>
      </c>
      <c r="AQ11" s="4">
        <v>0.479971844798951</v>
      </c>
      <c r="AR11" s="4">
        <v>7.9577322685412902E-3</v>
      </c>
      <c r="AS11" s="4">
        <v>6.9550208837529997E-3</v>
      </c>
      <c r="AT11" s="4">
        <v>5.6792341722498099E-2</v>
      </c>
      <c r="AU11" s="4">
        <v>8.4267550097489305E-2</v>
      </c>
      <c r="AV11" s="4">
        <v>8.9975236188732696E-2</v>
      </c>
      <c r="AW11" s="4">
        <v>7.8311340129650797E-2</v>
      </c>
      <c r="AX11" s="4">
        <v>0.100023366352067</v>
      </c>
      <c r="AY11" s="4">
        <v>7.8940851715852203E-2</v>
      </c>
      <c r="AZ11" s="4">
        <v>0.122023855134373</v>
      </c>
      <c r="BA11" s="4">
        <v>0.151071651023473</v>
      </c>
      <c r="BB11" s="4">
        <v>0.140071043008927</v>
      </c>
      <c r="BC11" s="4">
        <v>0.162551247143702</v>
      </c>
      <c r="BD11" s="4">
        <v>6.52641190035462E-2</v>
      </c>
      <c r="BE11" s="4">
        <v>4.4609370030003599E-2</v>
      </c>
      <c r="BF11" s="4">
        <v>8.6818216365024695E-2</v>
      </c>
      <c r="BG11" s="4">
        <v>6.98507495633897E-2</v>
      </c>
      <c r="BH11" s="4">
        <v>5.7524055134843398E-2</v>
      </c>
      <c r="BI11" s="4">
        <v>8.2714172507837497E-2</v>
      </c>
      <c r="BJ11" s="4">
        <v>6.1394493328003397E-2</v>
      </c>
      <c r="BK11" s="4">
        <v>6.7533937652851095E-2</v>
      </c>
      <c r="BL11" s="4">
        <v>5.4987725524015499E-2</v>
      </c>
      <c r="BM11" s="4">
        <v>3.3187355280719401E-2</v>
      </c>
      <c r="BN11" s="4">
        <v>5.7478058711591597E-2</v>
      </c>
      <c r="BO11" s="4">
        <v>7.8389868547234301E-3</v>
      </c>
      <c r="BP11" s="4">
        <v>6.9429451002284995E-2</v>
      </c>
      <c r="BQ11" s="4">
        <v>8.2491676139167303E-2</v>
      </c>
      <c r="BR11" s="4">
        <v>5.5798470896036602E-2</v>
      </c>
      <c r="BS11" s="4">
        <v>8.9403644582126296E-2</v>
      </c>
      <c r="BT11" s="4">
        <v>9.6686222080544004E-2</v>
      </c>
      <c r="BU11" s="4">
        <v>8.1803969338216098E-2</v>
      </c>
      <c r="BV11" s="4">
        <v>7.1140461146799505E-2</v>
      </c>
      <c r="BW11" s="4">
        <v>7.3124997658740601E-2</v>
      </c>
      <c r="BX11" s="4">
        <v>6.9069514012531294E-2</v>
      </c>
      <c r="BY11" s="4">
        <v>5.0850433305917098E-2</v>
      </c>
      <c r="BZ11" s="4">
        <v>4.7214275937233902E-2</v>
      </c>
      <c r="CA11" s="4">
        <v>5.4644916116947502E-2</v>
      </c>
      <c r="CB11" s="4">
        <v>4.7236418898240998E-2</v>
      </c>
      <c r="CC11" s="4">
        <v>6.5704025895372997E-2</v>
      </c>
      <c r="CD11" s="4">
        <v>2.7964695975847598E-2</v>
      </c>
      <c r="CE11" s="4">
        <v>3.0851227927786301E-2</v>
      </c>
      <c r="CF11" s="4">
        <v>2.8457033986864898E-2</v>
      </c>
      <c r="CG11" s="4">
        <v>3.3349669781085299E-2</v>
      </c>
      <c r="CH11" s="4">
        <v>2.86008855412372E-2</v>
      </c>
      <c r="CI11" s="4">
        <v>2.2349388565816301E-2</v>
      </c>
      <c r="CJ11" s="4">
        <v>3.5124584988556098E-2</v>
      </c>
      <c r="CK11" s="4">
        <v>1.19382625191626E-2</v>
      </c>
      <c r="CL11" s="4">
        <v>3.8759652660206E-3</v>
      </c>
      <c r="CM11" s="4">
        <v>2.0351608049238901E-2</v>
      </c>
      <c r="CN11" s="4">
        <v>7.2856532900578697E-3</v>
      </c>
      <c r="CO11" s="4">
        <v>8.0406554677614102E-3</v>
      </c>
      <c r="CP11" s="4">
        <v>6.497776832823E-3</v>
      </c>
      <c r="CQ11" s="4">
        <v>2.8204277137699602E-2</v>
      </c>
      <c r="CR11" s="4">
        <v>3.59232065596767E-2</v>
      </c>
      <c r="CS11" s="4">
        <v>2.0149250349390899E-2</v>
      </c>
      <c r="CT11" s="1">
        <f>Table1[[#This Row],[Female %]]*Table1[[#This Row],[NWS_pin]]</f>
        <v>67377.223060882796</v>
      </c>
      <c r="CU11" s="1">
        <f>Table1[[#This Row],[Male %]]*Table1[[#This Row],[NWS_pin]]</f>
        <v>64565.896939117185</v>
      </c>
      <c r="CV11" s="1">
        <f>Table1[[#This Row],[Female% (0-2)22]]+Table1[[#This Row],[Male%(0-2)3]]</f>
        <v>11118.523474619044</v>
      </c>
      <c r="CW11" s="1">
        <f>$CT11*Table1[[#This Row],[Female% (0-2)]]</f>
        <v>6062.2815586438574</v>
      </c>
      <c r="CX11" s="1">
        <f>$CU11*Table1[[#This Row],[Male%(0-2)]]</f>
        <v>5056.2419159751853</v>
      </c>
      <c r="CY11" s="1">
        <f>Table1[[#This Row],[Female%  (3-5)5]]+Table1[[#This Row],[Male% (3-5)6]]</f>
        <v>18294.281925566585</v>
      </c>
      <c r="CZ11" s="1">
        <f>$AF11*Table1[[#This Row],[Female%  (3-5)]]</f>
        <v>10415.702270846892</v>
      </c>
      <c r="DA11" s="1">
        <f>$CU11*Table1[[#This Row],[Male% (3-5)]]</f>
        <v>7878.5796547196924</v>
      </c>
      <c r="DB11" s="1">
        <f>Table1[[#This Row],[Female% (6-8)8]]+Table1[[#This Row],[Male%(6-8)9]]</f>
        <v>19932.864979588216</v>
      </c>
      <c r="DC11" s="1">
        <f>$CT11*Table1[[#This Row],[Female% (6-8)]]</f>
        <v>9437.5979091829831</v>
      </c>
      <c r="DD11" s="1">
        <f>$CU11*Table1[[#This Row],[Male%(6-8)]]</f>
        <v>10495.267070405231</v>
      </c>
      <c r="DE11" s="1">
        <f>Table1[[#This Row],[Female% (9 - 11)11]]+Table1[[#This Row],[Male% (9 - 11)12]]</f>
        <v>8611.1514853791741</v>
      </c>
      <c r="DF11" s="1">
        <f>$CT11*Table1[[#This Row],[Female% (9 - 11)]]</f>
        <v>3005.6554751170124</v>
      </c>
      <c r="DG11" s="1">
        <f>$CU11*Table1[[#This Row],[Male% (9 - 11)]]</f>
        <v>5605.4960102621617</v>
      </c>
      <c r="DH11" s="1">
        <f>Table1[[#This Row],[Female% (12-14)14]]+Table1[[#This Row],[Male%(12-14)15]]</f>
        <v>9216.3258317322598</v>
      </c>
      <c r="DI11" s="1">
        <f>$CT11*Table1[[#This Row],[Female% (12-14)]]</f>
        <v>3875.811094186864</v>
      </c>
      <c r="DJ11" s="1">
        <f>$CU11*Table1[[#This Row],[Male%(12-14)]]</f>
        <v>5340.5147375453962</v>
      </c>
      <c r="DK11" s="1">
        <f>Table1[[#This Row],[Female% (15-17)17]]+Table1[[#This Row],[Male%(15-17)18]]</f>
        <v>8100.5810005159474</v>
      </c>
      <c r="DL11" s="1">
        <f>$CT11*Table1[[#This Row],[Female% (15-17)]]</f>
        <v>4550.2491814158993</v>
      </c>
      <c r="DM11" s="1">
        <f>$CU11*Table1[[#This Row],[Male%(15-17)]]</f>
        <v>3550.3318191000481</v>
      </c>
      <c r="DN11" s="1">
        <f>$AF11*Table1[[#This Row],[Total% (18-19)]]</f>
        <v>4378.8432002865939</v>
      </c>
      <c r="DO11" s="1">
        <f>$CT11*Table1[[#This Row],[Female% (18-19)]]</f>
        <v>3872.7119829174244</v>
      </c>
      <c r="DP11" s="1">
        <f>$CU11*Table1[[#This Row],[Male%(18-19)]]</f>
        <v>506.13121736916736</v>
      </c>
      <c r="DQ11" s="1">
        <f>$AF11*Table1[[#This Row],[Total% (20-24)]]</f>
        <v>9160.7383851286086</v>
      </c>
      <c r="DR11" s="1">
        <f>$CT11*Table1[[#This Row],[Female% (20-24)]]</f>
        <v>5558.0600638947781</v>
      </c>
      <c r="DS11" s="1">
        <f>$CU11*Table1[[#This Row],[Male% (20-24)]]</f>
        <v>3602.6783212338291</v>
      </c>
      <c r="DT11" s="1">
        <f>$AF11*Table1[[#This Row],[Total% (25-29)]]</f>
        <v>11796.19580553684</v>
      </c>
      <c r="DU11" s="1">
        <f>$CT11*Table1[[#This Row],[Female% (25-29)]]</f>
        <v>6514.4491520348647</v>
      </c>
      <c r="DV11" s="1">
        <f>$CU11*Table1[[#This Row],[Male% (25-29)]]</f>
        <v>5281.746653501963</v>
      </c>
      <c r="DW11" s="1">
        <f>$AF11*Table1[[#This Row],[Total%   (30-34)]]</f>
        <v>9386.4944019475042</v>
      </c>
      <c r="DX11" s="1">
        <f>$CT11*Table1[[#This Row],[Female%   (30-34)]]</f>
        <v>4926.9592785794975</v>
      </c>
      <c r="DY11" s="1">
        <f>$CU11*Table1[[#This Row],[Male%  (30-34)]]</f>
        <v>4459.5351233680058</v>
      </c>
      <c r="DZ11" s="1">
        <f>$AF11*Table1[[#This Row],[Total% (35-39)]]</f>
        <v>6709.364823734616</v>
      </c>
      <c r="EA11" s="1">
        <f>$CT11*Table1[[#This Row],[Female% (35-39)]]</f>
        <v>3181.1668014810798</v>
      </c>
      <c r="EB11" s="1">
        <f>$CU11*Table1[[#This Row],[Male% (35-39)]]</f>
        <v>3528.1980222535362</v>
      </c>
      <c r="EC11" s="1">
        <f>$AF11*Table1[[#This Row],[Total% (40-44)]]</f>
        <v>6232.5204870608795</v>
      </c>
      <c r="ED11" s="1">
        <f>$CT11*Table1[[#This Row],[Female% (40-44)]]</f>
        <v>4426.9548087505655</v>
      </c>
      <c r="EE11" s="1">
        <f>$CU11*Table1[[#This Row],[Male%(55-59)]]</f>
        <v>1805.5656783103211</v>
      </c>
      <c r="EF11" s="1">
        <f>$AF11*Table1[[#This Row],[Total% (45-49)]]</f>
        <v>4070.6072686232592</v>
      </c>
      <c r="EG11" s="1">
        <f>$CT11*Table1[[#This Row],[Female% (45-49)]]</f>
        <v>1917.3559265841191</v>
      </c>
      <c r="EH11" s="1">
        <f>$CU11*Table1[[#This Row],[Male% (45-49)]]</f>
        <v>2153.2513420391442</v>
      </c>
      <c r="EI11" s="1">
        <f>$AF11*Table1[[#This Row],[Total% (50-54)]]</f>
        <v>3773.6900730737248</v>
      </c>
      <c r="EJ11" s="1">
        <f>$CT11*Table1[[#This Row],[Female%(50-54)]]</f>
        <v>1505.8397386733484</v>
      </c>
      <c r="EK11" s="1">
        <f>$CU11*Table1[[#This Row],[Male% (50-54)]]</f>
        <v>2267.8503344003757</v>
      </c>
      <c r="EL11" s="1">
        <f>$AF11*Table1[[#This Row],[Total% (55-59)]]</f>
        <v>1575.1716041573732</v>
      </c>
      <c r="EM11" s="1">
        <f>$CT11*Table1[[#This Row],[Female% (55-59)]]</f>
        <v>261.15177630490388</v>
      </c>
      <c r="EN11" s="1">
        <f>$CU11*Table1[[#This Row],[Male% (55-59)]]</f>
        <v>1314.0198278524667</v>
      </c>
      <c r="EO11" s="1">
        <f>$AF11*Table1[[#This Row],[Total% (60-64)]]</f>
        <v>961.29182632850029</v>
      </c>
      <c r="EP11" s="1">
        <f>$CT11*Table1[[#This Row],[Female%(60-64)]]</f>
        <v>541.75703700706742</v>
      </c>
      <c r="EQ11" s="1">
        <f>$CU11*Table1[[#This Row],[Male%(60-64)]]</f>
        <v>419.5347893214331</v>
      </c>
      <c r="ER11" s="1">
        <f>$AF11*Table1[[#This Row],[Total% (&gt;=65)]]</f>
        <v>3721.360322892755</v>
      </c>
      <c r="ES11" s="1">
        <f>$CT11*Table1[[#This Row],[Female%(&gt;=65)]]</f>
        <v>2420.4059014335053</v>
      </c>
      <c r="ET11" s="1">
        <f>$CU11*Table1[[#This Row],[Male% (&gt;=65)]]</f>
        <v>1300.9544214592438</v>
      </c>
    </row>
    <row r="12" spans="1:150" x14ac:dyDescent="0.35">
      <c r="A12" t="s">
        <v>54</v>
      </c>
      <c r="B12" t="s">
        <v>55</v>
      </c>
      <c r="C12" t="s">
        <v>112</v>
      </c>
      <c r="D12" t="s">
        <v>113</v>
      </c>
      <c r="E12" t="s">
        <v>320</v>
      </c>
      <c r="F12" t="s">
        <v>321</v>
      </c>
      <c r="G12" t="s">
        <v>1143</v>
      </c>
      <c r="H12">
        <v>3</v>
      </c>
      <c r="I12" s="1">
        <v>0</v>
      </c>
      <c r="J12" s="1">
        <v>1739</v>
      </c>
      <c r="K12" s="1">
        <v>14684</v>
      </c>
      <c r="L12" s="1">
        <v>3285</v>
      </c>
      <c r="M12" s="1">
        <v>0</v>
      </c>
      <c r="N12" s="1">
        <v>17969</v>
      </c>
      <c r="O12" s="3">
        <v>0.88</v>
      </c>
      <c r="P12" s="3">
        <v>0</v>
      </c>
      <c r="Q12" s="3">
        <v>0.12</v>
      </c>
      <c r="R12" s="3">
        <v>0</v>
      </c>
      <c r="S12" s="3">
        <v>0</v>
      </c>
      <c r="T12" s="1">
        <v>19708</v>
      </c>
      <c r="U12" s="1">
        <v>4403</v>
      </c>
      <c r="V12" s="10">
        <f>Table1[[#This Row],[Pop NW+RATAA]]*Table1[[#This Row],[Perc_pop_Northern_Aleppo]]</f>
        <v>4403</v>
      </c>
      <c r="W12" s="10">
        <f>Table1[[#This Row],[Pop NW+RATAA]]*Table1[[#This Row],[Perc_pop_Afrin District]]</f>
        <v>0</v>
      </c>
      <c r="X12" s="10">
        <f>Table1[[#This Row],[Pop NW+RATAA]]*Table1[[#This Row],[Perc_pop_Euphrates Shiled]]</f>
        <v>4403</v>
      </c>
      <c r="Y12" s="10">
        <f>Table1[[#This Row],[Pop NW+RATAA]]*Table1[[#This Row],[Perc_Pop_Idleb_NSAG]]</f>
        <v>0</v>
      </c>
      <c r="Z12" s="3">
        <v>1</v>
      </c>
      <c r="AA12" s="3">
        <v>0</v>
      </c>
      <c r="AB12" s="3">
        <v>1</v>
      </c>
      <c r="AC12" s="3">
        <v>0</v>
      </c>
      <c r="AD12" s="1">
        <v>15812.72</v>
      </c>
      <c r="AE12" s="1">
        <v>0</v>
      </c>
      <c r="AF12" s="1">
        <v>2156.2799999999997</v>
      </c>
      <c r="AG12" s="1">
        <v>0</v>
      </c>
      <c r="AH12" s="1">
        <v>0</v>
      </c>
      <c r="AI12" s="1">
        <f>Table1[[#This Row],[NWS_pin]]*Table1[[#This Row],[Perc_pop_Northern_Aleppo]]</f>
        <v>2156.2799999999997</v>
      </c>
      <c r="AJ12" s="1">
        <f>Table1[[#This Row],[NWS_pin]]*Table1[[#This Row],[Perc_pop_Afrin District]]</f>
        <v>0</v>
      </c>
      <c r="AK12" s="1">
        <f>Table1[[#This Row],[NWS_pin]]*Table1[[#This Row],[Perc_pop_Euphrates Shiled]]</f>
        <v>2156.2799999999997</v>
      </c>
      <c r="AL12" s="1">
        <f>Table1[[#This Row],[NWS_pin]]*Table1[[#This Row],[Perc_Pop_Idleb_NSAG]]</f>
        <v>0</v>
      </c>
      <c r="AM12" s="4">
        <v>0.48522636031151201</v>
      </c>
      <c r="AN12" s="4">
        <v>0.51477363968848799</v>
      </c>
      <c r="AO12" s="4">
        <v>0.20662883672943</v>
      </c>
      <c r="AP12" s="4">
        <v>0.396319050928926</v>
      </c>
      <c r="AQ12" s="4">
        <v>0.58855424525523403</v>
      </c>
      <c r="AR12" s="4">
        <v>0</v>
      </c>
      <c r="AS12" s="4">
        <v>0</v>
      </c>
      <c r="AT12" s="4">
        <v>1.51267038158406E-2</v>
      </c>
      <c r="AU12" s="4">
        <v>8.2077084809781195E-2</v>
      </c>
      <c r="AV12" s="4">
        <v>9.8633318228896899E-2</v>
      </c>
      <c r="AW12" s="4">
        <v>6.6471155789626202E-2</v>
      </c>
      <c r="AX12" s="4">
        <v>0.130454840818474</v>
      </c>
      <c r="AY12" s="4">
        <v>0.121735014241326</v>
      </c>
      <c r="AZ12" s="4">
        <v>0.138674161674021</v>
      </c>
      <c r="BA12" s="4">
        <v>0.16851823858873499</v>
      </c>
      <c r="BB12" s="4">
        <v>0.15303356421543199</v>
      </c>
      <c r="BC12" s="4">
        <v>0.18311411453784801</v>
      </c>
      <c r="BD12" s="4">
        <v>0.11114732021036999</v>
      </c>
      <c r="BE12" s="4">
        <v>8.31458764888659E-2</v>
      </c>
      <c r="BF12" s="4">
        <v>0.13754152063732999</v>
      </c>
      <c r="BG12" s="4">
        <v>6.0468759508978398E-2</v>
      </c>
      <c r="BH12" s="4">
        <v>2.6702485758674298E-2</v>
      </c>
      <c r="BI12" s="4">
        <v>9.2296896868647907E-2</v>
      </c>
      <c r="BJ12" s="4">
        <v>3.5044082397077299E-2</v>
      </c>
      <c r="BK12" s="4">
        <v>3.3491390471258403E-2</v>
      </c>
      <c r="BL12" s="4">
        <v>3.6507652000808501E-2</v>
      </c>
      <c r="BM12" s="4">
        <v>6.4253701017104904E-3</v>
      </c>
      <c r="BN12" s="4">
        <v>1.32420054375971E-2</v>
      </c>
      <c r="BO12" s="4">
        <v>0</v>
      </c>
      <c r="BP12" s="4">
        <v>1.3096133195389799E-2</v>
      </c>
      <c r="BQ12" s="4">
        <v>2.69897397721388E-2</v>
      </c>
      <c r="BR12" s="4">
        <v>0</v>
      </c>
      <c r="BS12" s="4">
        <v>0.106865703286499</v>
      </c>
      <c r="BT12" s="4">
        <v>0.18346630631797001</v>
      </c>
      <c r="BU12" s="4">
        <v>3.4661866607682897E-2</v>
      </c>
      <c r="BV12" s="4">
        <v>8.4254211434528201E-2</v>
      </c>
      <c r="BW12" s="4">
        <v>9.4271912221646798E-2</v>
      </c>
      <c r="BX12" s="4">
        <v>7.4811512514348699E-2</v>
      </c>
      <c r="BY12" s="4">
        <v>4.3375665260401201E-2</v>
      </c>
      <c r="BZ12" s="4">
        <v>7.1732586742620404E-3</v>
      </c>
      <c r="CA12" s="4">
        <v>7.7500104874170098E-2</v>
      </c>
      <c r="CB12" s="4">
        <v>2.9154650589826601E-2</v>
      </c>
      <c r="CC12" s="4">
        <v>3.95601372345935E-2</v>
      </c>
      <c r="CD12" s="4">
        <v>1.9346424172161401E-2</v>
      </c>
      <c r="CE12" s="4">
        <v>2.7167948926847402E-2</v>
      </c>
      <c r="CF12" s="4">
        <v>2.3421316675297801E-2</v>
      </c>
      <c r="CG12" s="4">
        <v>3.0699529782357501E-2</v>
      </c>
      <c r="CH12" s="4">
        <v>4.2341088406260899E-2</v>
      </c>
      <c r="CI12" s="4">
        <v>5.7454848524080802E-2</v>
      </c>
      <c r="CJ12" s="4">
        <v>2.8094836758587299E-2</v>
      </c>
      <c r="CK12" s="4">
        <v>3.44571023602879E-2</v>
      </c>
      <c r="CL12" s="4">
        <v>2.3158337648886598E-2</v>
      </c>
      <c r="CM12" s="4">
        <v>4.5107333946052701E-2</v>
      </c>
      <c r="CN12" s="4">
        <v>2.1050792423049702E-2</v>
      </c>
      <c r="CO12" s="4">
        <v>8.9008285862247506E-3</v>
      </c>
      <c r="CP12" s="4">
        <v>3.2503365507457499E-2</v>
      </c>
      <c r="CQ12" s="4">
        <v>4.1010076817822204E-3</v>
      </c>
      <c r="CR12" s="4">
        <v>5.6196595028482699E-3</v>
      </c>
      <c r="CS12" s="4">
        <v>2.6695243289006501E-3</v>
      </c>
      <c r="CT12" s="1">
        <f>Table1[[#This Row],[Female %]]*Table1[[#This Row],[NWS_pin]]</f>
        <v>1046.283896212507</v>
      </c>
      <c r="CU12" s="1">
        <f>Table1[[#This Row],[Male %]]*Table1[[#This Row],[NWS_pin]]</f>
        <v>1109.9961037874928</v>
      </c>
      <c r="CV12" s="1">
        <f>Table1[[#This Row],[Female% (0-2)22]]+Table1[[#This Row],[Male%(0-2)3]]</f>
        <v>176.98117643363486</v>
      </c>
      <c r="CW12" s="1">
        <f>$CT12*Table1[[#This Row],[Female% (0-2)]]</f>
        <v>103.19845249289834</v>
      </c>
      <c r="CX12" s="1">
        <f>$CU12*Table1[[#This Row],[Male%(0-2)]]</f>
        <v>73.782723940736531</v>
      </c>
      <c r="CY12" s="1">
        <f>Table1[[#This Row],[Female%  (3-5)5]]+Table1[[#This Row],[Male% (3-5)6]]</f>
        <v>416.4225556624466</v>
      </c>
      <c r="CZ12" s="1">
        <f>$AF12*Table1[[#This Row],[Female%  (3-5)]]</f>
        <v>262.49477650828641</v>
      </c>
      <c r="DA12" s="1">
        <f>$CU12*Table1[[#This Row],[Male% (3-5)]]</f>
        <v>153.92777915416016</v>
      </c>
      <c r="DB12" s="1">
        <f>Table1[[#This Row],[Female% (6-8)8]]+Table1[[#This Row],[Male%(6-8)9]]</f>
        <v>363.37250750411704</v>
      </c>
      <c r="DC12" s="1">
        <f>$CT12*Table1[[#This Row],[Female% (6-8)]]</f>
        <v>160.11655381860908</v>
      </c>
      <c r="DD12" s="1">
        <f>$CU12*Table1[[#This Row],[Male%(6-8)]]</f>
        <v>203.25595368550799</v>
      </c>
      <c r="DE12" s="1">
        <f>Table1[[#This Row],[Female% (9 - 11)11]]+Table1[[#This Row],[Male% (9 - 11)12]]</f>
        <v>239.66474362321782</v>
      </c>
      <c r="DF12" s="1">
        <f>$CT12*Table1[[#This Row],[Female% (9 - 11)]]</f>
        <v>86.994191606774493</v>
      </c>
      <c r="DG12" s="1">
        <f>$CU12*Table1[[#This Row],[Male% (9 - 11)]]</f>
        <v>152.67055201644331</v>
      </c>
      <c r="DH12" s="1">
        <f>Table1[[#This Row],[Female% (12-14)14]]+Table1[[#This Row],[Male%(12-14)15]]</f>
        <v>130.38757675401996</v>
      </c>
      <c r="DI12" s="1">
        <f>$CT12*Table1[[#This Row],[Female% (12-14)]]</f>
        <v>27.938380838144727</v>
      </c>
      <c r="DJ12" s="1">
        <f>$CU12*Table1[[#This Row],[Male%(12-14)]]</f>
        <v>102.44919591587522</v>
      </c>
      <c r="DK12" s="1">
        <f>Table1[[#This Row],[Female% (15-17)17]]+Table1[[#This Row],[Male%(15-17)18]]</f>
        <v>75.56485399116977</v>
      </c>
      <c r="DL12" s="1">
        <f>$CT12*Table1[[#This Row],[Female% (15-17)]]</f>
        <v>35.041502511842673</v>
      </c>
      <c r="DM12" s="1">
        <f>$CU12*Table1[[#This Row],[Male%(15-17)]]</f>
        <v>40.523351479327097</v>
      </c>
      <c r="DN12" s="1">
        <f>$AF12*Table1[[#This Row],[Total% (18-19)]]</f>
        <v>13.854897042916294</v>
      </c>
      <c r="DO12" s="1">
        <f>$CT12*Table1[[#This Row],[Female% (18-19)]]</f>
        <v>13.854897042916297</v>
      </c>
      <c r="DP12" s="1">
        <f>$CU12*Table1[[#This Row],[Male%(18-19)]]</f>
        <v>0</v>
      </c>
      <c r="DQ12" s="1">
        <f>$AF12*Table1[[#This Row],[Total% (20-24)]]</f>
        <v>28.238930086555111</v>
      </c>
      <c r="DR12" s="1">
        <f>$CT12*Table1[[#This Row],[Female% (20-24)]]</f>
        <v>28.238930086555044</v>
      </c>
      <c r="DS12" s="1">
        <f>$CU12*Table1[[#This Row],[Male% (20-24)]]</f>
        <v>0</v>
      </c>
      <c r="DT12" s="1">
        <f>$AF12*Table1[[#This Row],[Total% (25-29)]]</f>
        <v>230.43237868261204</v>
      </c>
      <c r="DU12" s="1">
        <f>$CT12*Table1[[#This Row],[Female% (25-29)]]</f>
        <v>191.95784179808294</v>
      </c>
      <c r="DV12" s="1">
        <f>$CU12*Table1[[#This Row],[Male% (25-29)]]</f>
        <v>38.474536884529812</v>
      </c>
      <c r="DW12" s="1">
        <f>$AF12*Table1[[#This Row],[Total%   (30-34)]]</f>
        <v>181.67567103204445</v>
      </c>
      <c r="DX12" s="1">
        <f>$CT12*Table1[[#This Row],[Female%   (30-34)]]</f>
        <v>98.635183622668066</v>
      </c>
      <c r="DY12" s="1">
        <f>$CU12*Table1[[#This Row],[Male%  (30-34)]]</f>
        <v>83.040487409376311</v>
      </c>
      <c r="DZ12" s="1">
        <f>$AF12*Table1[[#This Row],[Total% (35-39)]]</f>
        <v>93.53007948769789</v>
      </c>
      <c r="EA12" s="1">
        <f>$CT12*Table1[[#This Row],[Female% (35-39)]]</f>
        <v>7.5052650342470502</v>
      </c>
      <c r="EB12" s="1">
        <f>$CU12*Table1[[#This Row],[Male% (35-39)]]</f>
        <v>86.024814453450887</v>
      </c>
      <c r="EC12" s="1">
        <f>$AF12*Table1[[#This Row],[Total% (40-44)]]</f>
        <v>62.865589973831298</v>
      </c>
      <c r="ED12" s="1">
        <f>$CT12*Table1[[#This Row],[Female% (40-44)]]</f>
        <v>41.391134520511962</v>
      </c>
      <c r="EE12" s="1">
        <f>$CU12*Table1[[#This Row],[Male%(55-59)]]</f>
        <v>21.474455453319326</v>
      </c>
      <c r="EF12" s="1">
        <f>$AF12*Table1[[#This Row],[Total% (45-49)]]</f>
        <v>58.581704911982506</v>
      </c>
      <c r="EG12" s="1">
        <f>$CT12*Table1[[#This Row],[Female% (45-49)]]</f>
        <v>24.505346465457546</v>
      </c>
      <c r="EH12" s="1">
        <f>$CU12*Table1[[#This Row],[Male% (45-49)]]</f>
        <v>34.076358446524921</v>
      </c>
      <c r="EI12" s="1">
        <f>$AF12*Table1[[#This Row],[Total% (50-54)]]</f>
        <v>91.299242108652237</v>
      </c>
      <c r="EJ12" s="1">
        <f>$CT12*Table1[[#This Row],[Female%(50-54)]]</f>
        <v>60.114082770074667</v>
      </c>
      <c r="EK12" s="1">
        <f>$CU12*Table1[[#This Row],[Male% (50-54)]]</f>
        <v>31.185159338577535</v>
      </c>
      <c r="EL12" s="1">
        <f>$AF12*Table1[[#This Row],[Total% (55-59)]]</f>
        <v>74.299160677441591</v>
      </c>
      <c r="EM12" s="1">
        <f>$CT12*Table1[[#This Row],[Female% (55-59)]]</f>
        <v>24.230195745081858</v>
      </c>
      <c r="EN12" s="1">
        <f>$CU12*Table1[[#This Row],[Male% (55-59)]]</f>
        <v>50.068964932359812</v>
      </c>
      <c r="EO12" s="1">
        <f>$AF12*Table1[[#This Row],[Total% (60-64)]]</f>
        <v>45.391402685973603</v>
      </c>
      <c r="EP12" s="1">
        <f>$CT12*Table1[[#This Row],[Female%(60-64)]]</f>
        <v>9.3127936127148914</v>
      </c>
      <c r="EQ12" s="1">
        <f>$CU12*Table1[[#This Row],[Male%(60-64)]]</f>
        <v>36.078609073258605</v>
      </c>
      <c r="ER12" s="1">
        <f>$AF12*Table1[[#This Row],[Total% (&gt;=65)]]</f>
        <v>8.8429208440733653</v>
      </c>
      <c r="ES12" s="1">
        <f>$CT12*Table1[[#This Row],[Female%(&gt;=65)]]</f>
        <v>5.8797592400277274</v>
      </c>
      <c r="ET12" s="1">
        <f>$CU12*Table1[[#This Row],[Male% (&gt;=65)]]</f>
        <v>2.9631616040456432</v>
      </c>
    </row>
    <row r="13" spans="1:150" hidden="1" x14ac:dyDescent="0.35">
      <c r="A13" t="s">
        <v>54</v>
      </c>
      <c r="B13" t="s">
        <v>55</v>
      </c>
      <c r="C13" t="s">
        <v>112</v>
      </c>
      <c r="D13" t="s">
        <v>113</v>
      </c>
      <c r="E13" t="s">
        <v>114</v>
      </c>
      <c r="F13" t="s">
        <v>115</v>
      </c>
      <c r="H13">
        <v>2</v>
      </c>
      <c r="I13" s="1">
        <v>0</v>
      </c>
      <c r="J13" s="1">
        <v>16520</v>
      </c>
      <c r="K13" s="1">
        <v>5217</v>
      </c>
      <c r="L13" s="1">
        <v>0</v>
      </c>
      <c r="M13" s="1">
        <v>0</v>
      </c>
      <c r="N13" s="1">
        <v>5217</v>
      </c>
      <c r="O13" s="3">
        <v>1</v>
      </c>
      <c r="P13" s="3">
        <v>0</v>
      </c>
      <c r="Q13" s="3">
        <v>0</v>
      </c>
      <c r="R13" s="3">
        <v>0</v>
      </c>
      <c r="S13" s="3">
        <v>0</v>
      </c>
      <c r="T13" s="1">
        <v>21737</v>
      </c>
      <c r="U13" s="1">
        <v>0</v>
      </c>
      <c r="V13" s="10">
        <f>Table1[[#This Row],[Pop NW+RATAA]]*Table1[[#This Row],[Perc_pop_Northern_Aleppo]]</f>
        <v>0</v>
      </c>
      <c r="W13" s="10">
        <f>Table1[[#This Row],[Pop NW+RATAA]]*Table1[[#This Row],[Perc_pop_Afrin District]]</f>
        <v>0</v>
      </c>
      <c r="X13" s="10">
        <f>Table1[[#This Row],[Pop NW+RATAA]]*Table1[[#This Row],[Perc_pop_Euphrates Shiled]]</f>
        <v>0</v>
      </c>
      <c r="Y13" s="10">
        <f>Table1[[#This Row],[Pop NW+RATAA]]*Table1[[#This Row],[Perc_Pop_Idleb_NSAG]]</f>
        <v>0</v>
      </c>
      <c r="Z13" s="3">
        <v>0</v>
      </c>
      <c r="AA13" s="3">
        <v>0</v>
      </c>
      <c r="AB13" s="3">
        <v>0</v>
      </c>
      <c r="AC13" s="3">
        <v>0</v>
      </c>
      <c r="AD13" s="1">
        <v>5217</v>
      </c>
      <c r="AE13" s="1">
        <v>0</v>
      </c>
      <c r="AF13" s="1">
        <v>0</v>
      </c>
      <c r="AG13" s="1">
        <v>0</v>
      </c>
      <c r="AH13" s="1">
        <v>0</v>
      </c>
      <c r="AI13" s="1">
        <f>Table1[[#This Row],[NWS_pin]]*Table1[[#This Row],[Perc_pop_Northern_Aleppo]]</f>
        <v>0</v>
      </c>
      <c r="AJ13" s="1">
        <f>Table1[[#This Row],[NWS_pin]]*Table1[[#This Row],[Perc_pop_Afrin District]]</f>
        <v>0</v>
      </c>
      <c r="AK13" s="1">
        <f>Table1[[#This Row],[NWS_pin]]*Table1[[#This Row],[Perc_pop_Euphrates Shiled]]</f>
        <v>0</v>
      </c>
      <c r="AL13" s="1">
        <f>Table1[[#This Row],[NWS_pin]]*Table1[[#This Row],[Perc_Pop_Idleb_NSAG]]</f>
        <v>0</v>
      </c>
      <c r="AM13" s="4">
        <v>0.53735996122079799</v>
      </c>
      <c r="AN13" s="4">
        <v>0.46264003877920201</v>
      </c>
      <c r="AO13" s="4">
        <v>0.15506573859242101</v>
      </c>
      <c r="AP13" s="4">
        <v>0.42624487283892298</v>
      </c>
      <c r="AQ13" s="4">
        <v>0.437069479393769</v>
      </c>
      <c r="AR13" s="4">
        <v>2.70776281566136E-2</v>
      </c>
      <c r="AS13" s="4">
        <v>0</v>
      </c>
      <c r="AT13" s="4">
        <v>0.109608019610694</v>
      </c>
      <c r="AU13" s="4">
        <v>4.1821551909272503E-2</v>
      </c>
      <c r="AV13" s="4">
        <v>4.7846535217596298E-2</v>
      </c>
      <c r="AW13" s="4">
        <v>3.4823487484368698E-2</v>
      </c>
      <c r="AX13" s="4">
        <v>5.6838750437928E-2</v>
      </c>
      <c r="AY13" s="4">
        <v>4.3465114589800902E-2</v>
      </c>
      <c r="AZ13" s="4">
        <v>7.2372331274757395E-2</v>
      </c>
      <c r="BA13" s="4">
        <v>0.125292286266006</v>
      </c>
      <c r="BB13" s="4">
        <v>7.8048259101712605E-2</v>
      </c>
      <c r="BC13" s="4">
        <v>0.18016658696836099</v>
      </c>
      <c r="BD13" s="4">
        <v>9.6027428330407893E-2</v>
      </c>
      <c r="BE13" s="4">
        <v>6.9279374507324701E-2</v>
      </c>
      <c r="BF13" s="4">
        <v>0.127095498450391</v>
      </c>
      <c r="BG13" s="4">
        <v>5.6208002587091403E-2</v>
      </c>
      <c r="BH13" s="4">
        <v>5.0724507449126099E-2</v>
      </c>
      <c r="BI13" s="4">
        <v>6.25771243398624E-2</v>
      </c>
      <c r="BJ13" s="4">
        <v>6.3432513800487894E-2</v>
      </c>
      <c r="BK13" s="4">
        <v>6.5626077457196896E-2</v>
      </c>
      <c r="BL13" s="4">
        <v>6.08846727519377E-2</v>
      </c>
      <c r="BM13" s="4">
        <v>2.4003970461889498E-2</v>
      </c>
      <c r="BN13" s="4">
        <v>2.5582164108563499E-2</v>
      </c>
      <c r="BO13" s="4">
        <v>2.2170886410164299E-2</v>
      </c>
      <c r="BP13" s="4">
        <v>7.3149728124901697E-2</v>
      </c>
      <c r="BQ13" s="4">
        <v>8.8942858493721105E-2</v>
      </c>
      <c r="BR13" s="4">
        <v>5.4805885804340898E-2</v>
      </c>
      <c r="BS13" s="4">
        <v>7.2684621362597901E-2</v>
      </c>
      <c r="BT13" s="4">
        <v>8.1465233955616806E-2</v>
      </c>
      <c r="BU13" s="4">
        <v>6.2485872341803798E-2</v>
      </c>
      <c r="BV13" s="4">
        <v>7.3944758654524004E-2</v>
      </c>
      <c r="BW13" s="4">
        <v>8.1045992138682701E-2</v>
      </c>
      <c r="BX13" s="4">
        <v>6.5696621377567502E-2</v>
      </c>
      <c r="BY13" s="4">
        <v>4.6989218514089097E-2</v>
      </c>
      <c r="BZ13" s="4">
        <v>6.8356560622923696E-2</v>
      </c>
      <c r="CA13" s="4">
        <v>2.2170886410164299E-2</v>
      </c>
      <c r="CB13" s="4">
        <v>5.6474293347820802E-2</v>
      </c>
      <c r="CC13" s="4">
        <v>6.5534281905797298E-2</v>
      </c>
      <c r="CD13" s="4">
        <v>4.5951046996247101E-2</v>
      </c>
      <c r="CE13" s="4">
        <v>4.03603062993238E-2</v>
      </c>
      <c r="CF13" s="4">
        <v>3.7432045518901801E-2</v>
      </c>
      <c r="CG13" s="4">
        <v>4.3761503704468699E-2</v>
      </c>
      <c r="CH13" s="4">
        <v>4.07801822620808E-2</v>
      </c>
      <c r="CI13" s="4">
        <v>2.94416061598765E-2</v>
      </c>
      <c r="CJ13" s="4">
        <v>5.3950025561111503E-2</v>
      </c>
      <c r="CK13" s="4">
        <v>2.4616655708120501E-2</v>
      </c>
      <c r="CL13" s="4">
        <v>2.8974057131512999E-2</v>
      </c>
      <c r="CM13" s="4">
        <v>1.9555500460779002E-2</v>
      </c>
      <c r="CN13" s="4">
        <v>4.0062750889259598E-2</v>
      </c>
      <c r="CO13" s="4">
        <v>5.7549688390837003E-2</v>
      </c>
      <c r="CP13" s="4">
        <v>1.9751538564200099E-2</v>
      </c>
      <c r="CQ13" s="4">
        <v>6.7312981044198597E-2</v>
      </c>
      <c r="CR13" s="4">
        <v>8.0685643250809097E-2</v>
      </c>
      <c r="CS13" s="4">
        <v>5.17805310994746E-2</v>
      </c>
      <c r="CT13" s="1">
        <f>Table1[[#This Row],[Female %]]*Table1[[#This Row],[NWS_pin]]</f>
        <v>0</v>
      </c>
      <c r="CU13" s="1">
        <f>Table1[[#This Row],[Male %]]*Table1[[#This Row],[NWS_pin]]</f>
        <v>0</v>
      </c>
      <c r="CV13" s="1">
        <f>Table1[[#This Row],[Female% (0-2)22]]+Table1[[#This Row],[Male%(0-2)3]]</f>
        <v>0</v>
      </c>
      <c r="CW13" s="1">
        <f>$CT13*Table1[[#This Row],[Female% (0-2)]]</f>
        <v>0</v>
      </c>
      <c r="CX13" s="1">
        <f>$CU13*Table1[[#This Row],[Male%(0-2)]]</f>
        <v>0</v>
      </c>
      <c r="CY13" s="1">
        <f>Table1[[#This Row],[Female%  (3-5)5]]+Table1[[#This Row],[Male% (3-5)6]]</f>
        <v>0</v>
      </c>
      <c r="CZ13" s="1">
        <f>$AF13*Table1[[#This Row],[Female%  (3-5)]]</f>
        <v>0</v>
      </c>
      <c r="DA13" s="1">
        <f>$CU13*Table1[[#This Row],[Male% (3-5)]]</f>
        <v>0</v>
      </c>
      <c r="DB13" s="1">
        <f>Table1[[#This Row],[Female% (6-8)8]]+Table1[[#This Row],[Male%(6-8)9]]</f>
        <v>0</v>
      </c>
      <c r="DC13" s="1">
        <f>$CT13*Table1[[#This Row],[Female% (6-8)]]</f>
        <v>0</v>
      </c>
      <c r="DD13" s="1">
        <f>$CU13*Table1[[#This Row],[Male%(6-8)]]</f>
        <v>0</v>
      </c>
      <c r="DE13" s="1">
        <f>Table1[[#This Row],[Female% (9 - 11)11]]+Table1[[#This Row],[Male% (9 - 11)12]]</f>
        <v>0</v>
      </c>
      <c r="DF13" s="1">
        <f>$CT13*Table1[[#This Row],[Female% (9 - 11)]]</f>
        <v>0</v>
      </c>
      <c r="DG13" s="1">
        <f>$CU13*Table1[[#This Row],[Male% (9 - 11)]]</f>
        <v>0</v>
      </c>
      <c r="DH13" s="1">
        <f>Table1[[#This Row],[Female% (12-14)14]]+Table1[[#This Row],[Male%(12-14)15]]</f>
        <v>0</v>
      </c>
      <c r="DI13" s="1">
        <f>$CT13*Table1[[#This Row],[Female% (12-14)]]</f>
        <v>0</v>
      </c>
      <c r="DJ13" s="1">
        <f>$CU13*Table1[[#This Row],[Male%(12-14)]]</f>
        <v>0</v>
      </c>
      <c r="DK13" s="1">
        <f>Table1[[#This Row],[Female% (15-17)17]]+Table1[[#This Row],[Male%(15-17)18]]</f>
        <v>0</v>
      </c>
      <c r="DL13" s="1">
        <f>$CT13*Table1[[#This Row],[Female% (15-17)]]</f>
        <v>0</v>
      </c>
      <c r="DM13" s="1">
        <f>$CU13*Table1[[#This Row],[Male%(15-17)]]</f>
        <v>0</v>
      </c>
      <c r="DN13" s="1">
        <f>$AF13*Table1[[#This Row],[Total% (18-19)]]</f>
        <v>0</v>
      </c>
      <c r="DO13" s="1">
        <f>$CT13*Table1[[#This Row],[Female% (18-19)]]</f>
        <v>0</v>
      </c>
      <c r="DP13" s="1">
        <f>$CU13*Table1[[#This Row],[Male%(18-19)]]</f>
        <v>0</v>
      </c>
      <c r="DQ13" s="1">
        <f>$AF13*Table1[[#This Row],[Total% (20-24)]]</f>
        <v>0</v>
      </c>
      <c r="DR13" s="1">
        <f>$CT13*Table1[[#This Row],[Female% (20-24)]]</f>
        <v>0</v>
      </c>
      <c r="DS13" s="1">
        <f>$CU13*Table1[[#This Row],[Male% (20-24)]]</f>
        <v>0</v>
      </c>
      <c r="DT13" s="1">
        <f>$AF13*Table1[[#This Row],[Total% (25-29)]]</f>
        <v>0</v>
      </c>
      <c r="DU13" s="1">
        <f>$CT13*Table1[[#This Row],[Female% (25-29)]]</f>
        <v>0</v>
      </c>
      <c r="DV13" s="1">
        <f>$CU13*Table1[[#This Row],[Male% (25-29)]]</f>
        <v>0</v>
      </c>
      <c r="DW13" s="1">
        <f>$AF13*Table1[[#This Row],[Total%   (30-34)]]</f>
        <v>0</v>
      </c>
      <c r="DX13" s="1">
        <f>$CT13*Table1[[#This Row],[Female%   (30-34)]]</f>
        <v>0</v>
      </c>
      <c r="DY13" s="1">
        <f>$CU13*Table1[[#This Row],[Male%  (30-34)]]</f>
        <v>0</v>
      </c>
      <c r="DZ13" s="1">
        <f>$AF13*Table1[[#This Row],[Total% (35-39)]]</f>
        <v>0</v>
      </c>
      <c r="EA13" s="1">
        <f>$CT13*Table1[[#This Row],[Female% (35-39)]]</f>
        <v>0</v>
      </c>
      <c r="EB13" s="1">
        <f>$CU13*Table1[[#This Row],[Male% (35-39)]]</f>
        <v>0</v>
      </c>
      <c r="EC13" s="1">
        <f>$AF13*Table1[[#This Row],[Total% (40-44)]]</f>
        <v>0</v>
      </c>
      <c r="ED13" s="1">
        <f>$CT13*Table1[[#This Row],[Female% (40-44)]]</f>
        <v>0</v>
      </c>
      <c r="EE13" s="1">
        <f>$CU13*Table1[[#This Row],[Male%(55-59)]]</f>
        <v>0</v>
      </c>
      <c r="EF13" s="1">
        <f>$AF13*Table1[[#This Row],[Total% (45-49)]]</f>
        <v>0</v>
      </c>
      <c r="EG13" s="1">
        <f>$CT13*Table1[[#This Row],[Female% (45-49)]]</f>
        <v>0</v>
      </c>
      <c r="EH13" s="1">
        <f>$CU13*Table1[[#This Row],[Male% (45-49)]]</f>
        <v>0</v>
      </c>
      <c r="EI13" s="1">
        <f>$AF13*Table1[[#This Row],[Total% (50-54)]]</f>
        <v>0</v>
      </c>
      <c r="EJ13" s="1">
        <f>$CT13*Table1[[#This Row],[Female%(50-54)]]</f>
        <v>0</v>
      </c>
      <c r="EK13" s="1">
        <f>$CU13*Table1[[#This Row],[Male% (50-54)]]</f>
        <v>0</v>
      </c>
      <c r="EL13" s="1">
        <f>$AF13*Table1[[#This Row],[Total% (55-59)]]</f>
        <v>0</v>
      </c>
      <c r="EM13" s="1">
        <f>$CT13*Table1[[#This Row],[Female% (55-59)]]</f>
        <v>0</v>
      </c>
      <c r="EN13" s="1">
        <f>$CU13*Table1[[#This Row],[Male% (55-59)]]</f>
        <v>0</v>
      </c>
      <c r="EO13" s="1">
        <f>$AF13*Table1[[#This Row],[Total% (60-64)]]</f>
        <v>0</v>
      </c>
      <c r="EP13" s="1">
        <f>$CT13*Table1[[#This Row],[Female%(60-64)]]</f>
        <v>0</v>
      </c>
      <c r="EQ13" s="1">
        <f>$CU13*Table1[[#This Row],[Male%(60-64)]]</f>
        <v>0</v>
      </c>
      <c r="ER13" s="1">
        <f>$AF13*Table1[[#This Row],[Total% (&gt;=65)]]</f>
        <v>0</v>
      </c>
      <c r="ES13" s="1">
        <f>$CT13*Table1[[#This Row],[Female%(&gt;=65)]]</f>
        <v>0</v>
      </c>
      <c r="ET13" s="1">
        <f>$CU13*Table1[[#This Row],[Male% (&gt;=65)]]</f>
        <v>0</v>
      </c>
    </row>
    <row r="14" spans="1:150" x14ac:dyDescent="0.35">
      <c r="A14" t="s">
        <v>54</v>
      </c>
      <c r="B14" t="s">
        <v>55</v>
      </c>
      <c r="C14" t="s">
        <v>112</v>
      </c>
      <c r="D14" t="s">
        <v>113</v>
      </c>
      <c r="E14" t="s">
        <v>225</v>
      </c>
      <c r="F14" t="s">
        <v>226</v>
      </c>
      <c r="G14" t="s">
        <v>1143</v>
      </c>
      <c r="H14">
        <v>3</v>
      </c>
      <c r="I14" s="1">
        <v>0</v>
      </c>
      <c r="J14" s="1">
        <v>6267</v>
      </c>
      <c r="K14" s="1">
        <v>17601</v>
      </c>
      <c r="L14" s="1">
        <v>965</v>
      </c>
      <c r="M14" s="1">
        <v>0</v>
      </c>
      <c r="N14" s="1">
        <v>18566</v>
      </c>
      <c r="O14" s="3">
        <v>0</v>
      </c>
      <c r="P14" s="3">
        <v>0</v>
      </c>
      <c r="Q14" s="3">
        <v>1</v>
      </c>
      <c r="R14" s="3">
        <v>0</v>
      </c>
      <c r="S14" s="3">
        <v>0</v>
      </c>
      <c r="T14" s="1">
        <v>24833</v>
      </c>
      <c r="U14" s="1">
        <v>24831.5</v>
      </c>
      <c r="V14" s="10">
        <f>Table1[[#This Row],[Pop NW+RATAA]]*Table1[[#This Row],[Perc_pop_Northern_Aleppo]]</f>
        <v>24831.5</v>
      </c>
      <c r="W14" s="10">
        <f>Table1[[#This Row],[Pop NW+RATAA]]*Table1[[#This Row],[Perc_pop_Afrin District]]</f>
        <v>0</v>
      </c>
      <c r="X14" s="10">
        <f>Table1[[#This Row],[Pop NW+RATAA]]*Table1[[#This Row],[Perc_pop_Euphrates Shiled]]</f>
        <v>24831.5</v>
      </c>
      <c r="Y14" s="10">
        <f>Table1[[#This Row],[Pop NW+RATAA]]*Table1[[#This Row],[Perc_Pop_Idleb_NSAG]]</f>
        <v>0</v>
      </c>
      <c r="Z14" s="3">
        <v>1</v>
      </c>
      <c r="AA14" s="3">
        <v>0</v>
      </c>
      <c r="AB14" s="3">
        <v>1</v>
      </c>
      <c r="AC14" s="3">
        <v>0</v>
      </c>
      <c r="AD14" s="1">
        <v>0</v>
      </c>
      <c r="AE14" s="1">
        <v>0</v>
      </c>
      <c r="AF14" s="1">
        <v>18566</v>
      </c>
      <c r="AG14" s="1">
        <v>0</v>
      </c>
      <c r="AH14" s="1">
        <v>0</v>
      </c>
      <c r="AI14" s="1">
        <f>Table1[[#This Row],[NWS_pin]]*Table1[[#This Row],[Perc_pop_Northern_Aleppo]]</f>
        <v>18566</v>
      </c>
      <c r="AJ14" s="1">
        <f>Table1[[#This Row],[NWS_pin]]*Table1[[#This Row],[Perc_pop_Afrin District]]</f>
        <v>0</v>
      </c>
      <c r="AK14" s="1">
        <f>Table1[[#This Row],[NWS_pin]]*Table1[[#This Row],[Perc_pop_Euphrates Shiled]]</f>
        <v>18566</v>
      </c>
      <c r="AL14" s="1">
        <f>Table1[[#This Row],[NWS_pin]]*Table1[[#This Row],[Perc_Pop_Idleb_NSAG]]</f>
        <v>0</v>
      </c>
      <c r="AM14" s="4">
        <v>0.52665383909615904</v>
      </c>
      <c r="AN14" s="4">
        <v>0.47334616090384102</v>
      </c>
      <c r="AO14" s="4">
        <v>0.113768104948011</v>
      </c>
      <c r="AP14" s="4">
        <v>0.31962701262948201</v>
      </c>
      <c r="AQ14" s="4">
        <v>0.61157457448200803</v>
      </c>
      <c r="AR14" s="4">
        <v>1.38781297673857E-2</v>
      </c>
      <c r="AS14" s="4">
        <v>4.7853877402105503E-3</v>
      </c>
      <c r="AT14" s="4">
        <v>5.0134895380913397E-2</v>
      </c>
      <c r="AU14" s="4">
        <v>0.11908468660121101</v>
      </c>
      <c r="AV14" s="4">
        <v>0.17459172645757701</v>
      </c>
      <c r="AW14" s="4">
        <v>5.7326510340946699E-2</v>
      </c>
      <c r="AX14" s="4">
        <v>0.19526280717748701</v>
      </c>
      <c r="AY14" s="4">
        <v>0.19107264156185499</v>
      </c>
      <c r="AZ14" s="4">
        <v>0.199924864230421</v>
      </c>
      <c r="BA14" s="4">
        <v>0.13321626570181699</v>
      </c>
      <c r="BB14" s="4">
        <v>8.7498851810397293E-2</v>
      </c>
      <c r="BC14" s="4">
        <v>0.184082320036111</v>
      </c>
      <c r="BD14" s="4">
        <v>7.2256539067327999E-2</v>
      </c>
      <c r="BE14" s="4">
        <v>7.1056209692874905E-2</v>
      </c>
      <c r="BF14" s="4">
        <v>7.3592048099509796E-2</v>
      </c>
      <c r="BG14" s="4">
        <v>3.0700914199559198E-2</v>
      </c>
      <c r="BH14" s="4">
        <v>2.5893801817371501E-2</v>
      </c>
      <c r="BI14" s="4">
        <v>3.6049397825604901E-2</v>
      </c>
      <c r="BJ14" s="4">
        <v>3.1601690945932001E-2</v>
      </c>
      <c r="BK14" s="4">
        <v>2.0482568497306099E-2</v>
      </c>
      <c r="BL14" s="4">
        <v>4.3973035658578297E-2</v>
      </c>
      <c r="BM14" s="4">
        <v>1.6348956103818799E-2</v>
      </c>
      <c r="BN14" s="4">
        <v>1.89828344236882E-2</v>
      </c>
      <c r="BO14" s="4">
        <v>1.34184535595019E-2</v>
      </c>
      <c r="BP14" s="4">
        <v>1.6822561911790799E-2</v>
      </c>
      <c r="BQ14" s="4">
        <v>2.4208372882086299E-2</v>
      </c>
      <c r="BR14" s="4">
        <v>8.6049697485475196E-3</v>
      </c>
      <c r="BS14" s="4">
        <v>9.7707476148378394E-2</v>
      </c>
      <c r="BT14" s="4">
        <v>0.118208529376077</v>
      </c>
      <c r="BU14" s="4">
        <v>7.4897618839584498E-2</v>
      </c>
      <c r="BV14" s="4">
        <v>0.115415734672051</v>
      </c>
      <c r="BW14" s="4">
        <v>0.111342922559289</v>
      </c>
      <c r="BX14" s="4">
        <v>0.11994722201105799</v>
      </c>
      <c r="BY14" s="4">
        <v>6.3984114795358801E-2</v>
      </c>
      <c r="BZ14" s="4">
        <v>4.7008016347951903E-2</v>
      </c>
      <c r="CA14" s="4">
        <v>8.2872041134783497E-2</v>
      </c>
      <c r="CB14" s="4">
        <v>5.4453619105365801E-2</v>
      </c>
      <c r="CC14" s="4">
        <v>4.9634110246614099E-2</v>
      </c>
      <c r="CD14" s="4">
        <v>5.98158952843314E-2</v>
      </c>
      <c r="CE14" s="4">
        <v>1.7675560014232101E-2</v>
      </c>
      <c r="CF14" s="4">
        <v>1.0713034248369601E-2</v>
      </c>
      <c r="CG14" s="4">
        <v>2.5422197099860201E-2</v>
      </c>
      <c r="CH14" s="4">
        <v>9.9958895435392596E-3</v>
      </c>
      <c r="CI14" s="4">
        <v>9.7978846094964704E-3</v>
      </c>
      <c r="CJ14" s="4">
        <v>1.0216193556303399E-2</v>
      </c>
      <c r="CK14" s="4">
        <v>8.5389395201501302E-3</v>
      </c>
      <c r="CL14" s="4">
        <v>1.22360156176466E-2</v>
      </c>
      <c r="CM14" s="4">
        <v>4.4255031368079798E-3</v>
      </c>
      <c r="CN14" s="4">
        <v>1.18174503434314E-2</v>
      </c>
      <c r="CO14" s="4">
        <v>1.9683088329517401E-2</v>
      </c>
      <c r="CP14" s="4">
        <v>3.0659936200836402E-3</v>
      </c>
      <c r="CQ14" s="4">
        <v>5.11679414854948E-3</v>
      </c>
      <c r="CR14" s="4">
        <v>7.5893915218813801E-3</v>
      </c>
      <c r="CS14" s="4">
        <v>2.3657358179657801E-3</v>
      </c>
      <c r="CT14" s="1">
        <f>Table1[[#This Row],[Female %]]*Table1[[#This Row],[NWS_pin]]</f>
        <v>9777.8551766592882</v>
      </c>
      <c r="CU14" s="1">
        <f>Table1[[#This Row],[Male %]]*Table1[[#This Row],[NWS_pin]]</f>
        <v>8788.1448233407118</v>
      </c>
      <c r="CV14" s="1">
        <f>Table1[[#This Row],[Female% (0-2)22]]+Table1[[#This Row],[Male%(0-2)3]]</f>
        <v>2210.9262914380802</v>
      </c>
      <c r="CW14" s="1">
        <f>$CT14*Table1[[#This Row],[Female% (0-2)]]</f>
        <v>1707.1326163451017</v>
      </c>
      <c r="CX14" s="1">
        <f>$CU14*Table1[[#This Row],[Male%(0-2)]]</f>
        <v>503.7936750929785</v>
      </c>
      <c r="CY14" s="1">
        <f>Table1[[#This Row],[Female%  (3-5)5]]+Table1[[#This Row],[Male% (3-5)6]]</f>
        <v>5304.4233238810684</v>
      </c>
      <c r="CZ14" s="1">
        <f>$AF14*Table1[[#This Row],[Female%  (3-5)]]</f>
        <v>3547.4546632373999</v>
      </c>
      <c r="DA14" s="1">
        <f>$CU14*Table1[[#This Row],[Male% (3-5)]]</f>
        <v>1756.968660643669</v>
      </c>
      <c r="DB14" s="1">
        <f>Table1[[#This Row],[Female% (6-8)8]]+Table1[[#This Row],[Male%(6-8)9]]</f>
        <v>2473.2931890199343</v>
      </c>
      <c r="DC14" s="1">
        <f>$CT14*Table1[[#This Row],[Female% (6-8)]]</f>
        <v>855.55110112603711</v>
      </c>
      <c r="DD14" s="1">
        <f>$CU14*Table1[[#This Row],[Male%(6-8)]]</f>
        <v>1617.742087893897</v>
      </c>
      <c r="DE14" s="1">
        <f>Table1[[#This Row],[Female% (9 - 11)11]]+Table1[[#This Row],[Male% (9 - 11)12]]</f>
        <v>1341.5149043240124</v>
      </c>
      <c r="DF14" s="1">
        <f>$CT14*Table1[[#This Row],[Female% (9 - 11)]]</f>
        <v>694.77732777926474</v>
      </c>
      <c r="DG14" s="1">
        <f>$CU14*Table1[[#This Row],[Male% (9 - 11)]]</f>
        <v>646.73757654474764</v>
      </c>
      <c r="DH14" s="1">
        <f>Table1[[#This Row],[Female% (12-14)14]]+Table1[[#This Row],[Male%(12-14)15]]</f>
        <v>569.99317302901522</v>
      </c>
      <c r="DI14" s="1">
        <f>$CT14*Table1[[#This Row],[Female% (12-14)]]</f>
        <v>253.18584414337562</v>
      </c>
      <c r="DJ14" s="1">
        <f>$CU14*Table1[[#This Row],[Male%(12-14)]]</f>
        <v>316.80732888563961</v>
      </c>
      <c r="DK14" s="1">
        <f>Table1[[#This Row],[Female% (15-17)17]]+Table1[[#This Row],[Male%(15-17)18]]</f>
        <v>586.71699410217434</v>
      </c>
      <c r="DL14" s="1">
        <f>$CT14*Table1[[#This Row],[Female% (15-17)]]</f>
        <v>200.2755884126629</v>
      </c>
      <c r="DM14" s="1">
        <f>$CU14*Table1[[#This Row],[Male%(15-17)]]</f>
        <v>386.44140568951138</v>
      </c>
      <c r="DN14" s="1">
        <f>$AF14*Table1[[#This Row],[Total% (18-19)]]</f>
        <v>303.5347190234998</v>
      </c>
      <c r="DO14" s="1">
        <f>$CT14*Table1[[#This Row],[Female% (18-19)]]</f>
        <v>185.6114058373258</v>
      </c>
      <c r="DP14" s="1">
        <f>$CU14*Table1[[#This Row],[Male%(18-19)]]</f>
        <v>117.92331318617437</v>
      </c>
      <c r="DQ14" s="1">
        <f>$AF14*Table1[[#This Row],[Total% (20-24)]]</f>
        <v>312.32768445430798</v>
      </c>
      <c r="DR14" s="1">
        <f>$CT14*Table1[[#This Row],[Female% (20-24)]]</f>
        <v>236.70596410360585</v>
      </c>
      <c r="DS14" s="1">
        <f>$CU14*Table1[[#This Row],[Male% (20-24)]]</f>
        <v>75.62172035070131</v>
      </c>
      <c r="DT14" s="1">
        <f>$AF14*Table1[[#This Row],[Total% (25-29)]]</f>
        <v>1814.0370021707934</v>
      </c>
      <c r="DU14" s="1">
        <f>$CT14*Table1[[#This Row],[Female% (25-29)]]</f>
        <v>1155.825880885156</v>
      </c>
      <c r="DV14" s="1">
        <f>$CU14*Table1[[#This Row],[Male% (25-29)]]</f>
        <v>658.21112128564027</v>
      </c>
      <c r="DW14" s="1">
        <f>$AF14*Table1[[#This Row],[Total%   (30-34)]]</f>
        <v>2142.8085299212989</v>
      </c>
      <c r="DX14" s="1">
        <f>$CT14*Table1[[#This Row],[Female%   (30-34)]]</f>
        <v>1088.6949717307182</v>
      </c>
      <c r="DY14" s="1">
        <f>$CU14*Table1[[#This Row],[Male%  (30-34)]]</f>
        <v>1054.1135581905785</v>
      </c>
      <c r="DZ14" s="1">
        <f>$AF14*Table1[[#This Row],[Total% (35-39)]]</f>
        <v>1187.9290752906315</v>
      </c>
      <c r="EA14" s="1">
        <f>$CT14*Table1[[#This Row],[Female% (35-39)]]</f>
        <v>459.63757599230598</v>
      </c>
      <c r="EB14" s="1">
        <f>$CU14*Table1[[#This Row],[Male% (35-39)]]</f>
        <v>728.29149929832613</v>
      </c>
      <c r="EC14" s="1">
        <f>$AF14*Table1[[#This Row],[Total% (40-44)]]</f>
        <v>1010.9858923102215</v>
      </c>
      <c r="ED14" s="1">
        <f>$CT14*Table1[[#This Row],[Female% (40-44)]]</f>
        <v>485.31514181373348</v>
      </c>
      <c r="EE14" s="1">
        <f>$CU14*Table1[[#This Row],[Male%(55-59)]]</f>
        <v>525.67075049648713</v>
      </c>
      <c r="EF14" s="1">
        <f>$AF14*Table1[[#This Row],[Total% (45-49)]]</f>
        <v>328.16444722423319</v>
      </c>
      <c r="EG14" s="1">
        <f>$CT14*Table1[[#This Row],[Female% (45-49)]]</f>
        <v>104.75049738314894</v>
      </c>
      <c r="EH14" s="1">
        <f>$CU14*Table1[[#This Row],[Male% (45-49)]]</f>
        <v>223.41394984108368</v>
      </c>
      <c r="EI14" s="1">
        <f>$AF14*Table1[[#This Row],[Total% (50-54)]]</f>
        <v>185.58368526534989</v>
      </c>
      <c r="EJ14" s="1">
        <f>$CT14*Table1[[#This Row],[Female%(50-54)]]</f>
        <v>95.802296749275428</v>
      </c>
      <c r="EK14" s="1">
        <f>$CU14*Table1[[#This Row],[Male% (50-54)]]</f>
        <v>89.781388516074458</v>
      </c>
      <c r="EL14" s="1">
        <f>$AF14*Table1[[#This Row],[Total% (55-59)]]</f>
        <v>158.53395113110733</v>
      </c>
      <c r="EM14" s="1">
        <f>$CT14*Table1[[#This Row],[Female% (55-59)]]</f>
        <v>119.6419886486897</v>
      </c>
      <c r="EN14" s="1">
        <f>$CU14*Table1[[#This Row],[Male% (55-59)]]</f>
        <v>38.891962482417128</v>
      </c>
      <c r="EO14" s="1">
        <f>$AF14*Table1[[#This Row],[Total% (60-64)]]</f>
        <v>219.40278307614736</v>
      </c>
      <c r="EP14" s="1">
        <f>$CT14*Table1[[#This Row],[Female%(60-64)]]</f>
        <v>192.45838711541373</v>
      </c>
      <c r="EQ14" s="1">
        <f>$CU14*Table1[[#This Row],[Male%(60-64)]]</f>
        <v>26.94439596073369</v>
      </c>
      <c r="ER14" s="1">
        <f>$AF14*Table1[[#This Row],[Total% (&gt;=65)]]</f>
        <v>94.998400161969641</v>
      </c>
      <c r="ES14" s="1">
        <f>$CT14*Table1[[#This Row],[Female%(&gt;=65)]]</f>
        <v>74.207971179921969</v>
      </c>
      <c r="ET14" s="1">
        <f>$CU14*Table1[[#This Row],[Male% (&gt;=65)]]</f>
        <v>20.790428982047676</v>
      </c>
    </row>
    <row r="15" spans="1:150" hidden="1" x14ac:dyDescent="0.35">
      <c r="A15" t="s">
        <v>54</v>
      </c>
      <c r="B15" t="s">
        <v>55</v>
      </c>
      <c r="C15" t="s">
        <v>112</v>
      </c>
      <c r="D15" t="s">
        <v>113</v>
      </c>
      <c r="E15" t="s">
        <v>261</v>
      </c>
      <c r="F15" t="s">
        <v>262</v>
      </c>
      <c r="H15">
        <v>3</v>
      </c>
      <c r="I15" s="1">
        <v>0</v>
      </c>
      <c r="J15" s="1">
        <v>0</v>
      </c>
      <c r="K15" s="1">
        <v>12118</v>
      </c>
      <c r="L15" s="1">
        <v>3103</v>
      </c>
      <c r="M15" s="1">
        <v>0</v>
      </c>
      <c r="N15" s="1">
        <v>15221</v>
      </c>
      <c r="O15" s="3">
        <v>1</v>
      </c>
      <c r="P15" s="3">
        <v>0</v>
      </c>
      <c r="Q15" s="3">
        <v>0</v>
      </c>
      <c r="R15" s="3">
        <v>0</v>
      </c>
      <c r="S15" s="3">
        <v>0</v>
      </c>
      <c r="T15" s="1">
        <v>15221</v>
      </c>
      <c r="U15" s="1">
        <v>0</v>
      </c>
      <c r="V15" s="10">
        <f>Table1[[#This Row],[Pop NW+RATAA]]*Table1[[#This Row],[Perc_pop_Northern_Aleppo]]</f>
        <v>0</v>
      </c>
      <c r="W15" s="10">
        <f>Table1[[#This Row],[Pop NW+RATAA]]*Table1[[#This Row],[Perc_pop_Afrin District]]</f>
        <v>0</v>
      </c>
      <c r="X15" s="10">
        <f>Table1[[#This Row],[Pop NW+RATAA]]*Table1[[#This Row],[Perc_pop_Euphrates Shiled]]</f>
        <v>0</v>
      </c>
      <c r="Y15" s="10">
        <f>Table1[[#This Row],[Pop NW+RATAA]]*Table1[[#This Row],[Perc_Pop_Idleb_NSAG]]</f>
        <v>0</v>
      </c>
      <c r="Z15" s="3">
        <v>0</v>
      </c>
      <c r="AA15" s="3">
        <v>0</v>
      </c>
      <c r="AB15" s="3">
        <v>0</v>
      </c>
      <c r="AC15" s="3">
        <v>0</v>
      </c>
      <c r="AD15" s="1">
        <v>15221</v>
      </c>
      <c r="AE15" s="1">
        <v>0</v>
      </c>
      <c r="AF15" s="1">
        <v>0</v>
      </c>
      <c r="AG15" s="1">
        <v>0</v>
      </c>
      <c r="AH15" s="1">
        <v>0</v>
      </c>
      <c r="AI15" s="1">
        <f>Table1[[#This Row],[NWS_pin]]*Table1[[#This Row],[Perc_pop_Northern_Aleppo]]</f>
        <v>0</v>
      </c>
      <c r="AJ15" s="1">
        <f>Table1[[#This Row],[NWS_pin]]*Table1[[#This Row],[Perc_pop_Afrin District]]</f>
        <v>0</v>
      </c>
      <c r="AK15" s="1">
        <f>Table1[[#This Row],[NWS_pin]]*Table1[[#This Row],[Perc_pop_Euphrates Shiled]]</f>
        <v>0</v>
      </c>
      <c r="AL15" s="1">
        <f>Table1[[#This Row],[NWS_pin]]*Table1[[#This Row],[Perc_Pop_Idleb_NSAG]]</f>
        <v>0</v>
      </c>
      <c r="AM15" s="4">
        <v>0.46077064564124798</v>
      </c>
      <c r="AN15" s="4">
        <v>0.53922935435875197</v>
      </c>
      <c r="AO15" s="4">
        <v>0.20503186850050301</v>
      </c>
      <c r="AP15" s="4">
        <v>0.400243051886294</v>
      </c>
      <c r="AQ15" s="4">
        <v>0.59165521857057302</v>
      </c>
      <c r="AR15" s="4">
        <v>0</v>
      </c>
      <c r="AS15" s="4">
        <v>0</v>
      </c>
      <c r="AT15" s="4">
        <v>8.1017295431329E-3</v>
      </c>
      <c r="AU15" s="4">
        <v>5.9280433942148901E-2</v>
      </c>
      <c r="AV15" s="4">
        <v>3.87744724129164E-2</v>
      </c>
      <c r="AW15" s="4">
        <v>7.6802746214178597E-2</v>
      </c>
      <c r="AX15" s="4">
        <v>0.14797849034057001</v>
      </c>
      <c r="AY15" s="4">
        <v>0.112712941774727</v>
      </c>
      <c r="AZ15" s="4">
        <v>0.17811284680730899</v>
      </c>
      <c r="BA15" s="4">
        <v>0.17471326311843199</v>
      </c>
      <c r="BB15" s="4">
        <v>0.13463005339435499</v>
      </c>
      <c r="BC15" s="4">
        <v>0.208964303560953</v>
      </c>
      <c r="BD15" s="4">
        <v>0.134728258959429</v>
      </c>
      <c r="BE15" s="4">
        <v>0.13666412407831199</v>
      </c>
      <c r="BF15" s="4">
        <v>0.133074065222587</v>
      </c>
      <c r="BG15" s="4">
        <v>5.2368288482491199E-2</v>
      </c>
      <c r="BH15" s="4">
        <v>7.3735062293414696E-3</v>
      </c>
      <c r="BI15" s="4">
        <v>9.0816260021291895E-2</v>
      </c>
      <c r="BJ15" s="4">
        <v>3.1983317126890599E-2</v>
      </c>
      <c r="BK15" s="4">
        <v>6.0767861683193501E-2</v>
      </c>
      <c r="BL15" s="4">
        <v>7.3869685184782801E-3</v>
      </c>
      <c r="BM15" s="4">
        <v>0</v>
      </c>
      <c r="BN15" s="4">
        <v>0</v>
      </c>
      <c r="BO15" s="4">
        <v>0</v>
      </c>
      <c r="BP15" s="4">
        <v>3.60837423995689E-3</v>
      </c>
      <c r="BQ15" s="4">
        <v>7.8311721332316297E-3</v>
      </c>
      <c r="BR15" s="4">
        <v>0</v>
      </c>
      <c r="BS15" s="4">
        <v>0.103717328397202</v>
      </c>
      <c r="BT15" s="4">
        <v>0.22001017035341999</v>
      </c>
      <c r="BU15" s="4">
        <v>4.3452755991048803E-3</v>
      </c>
      <c r="BV15" s="4">
        <v>8.9389270944386506E-2</v>
      </c>
      <c r="BW15" s="4">
        <v>0.118484617340453</v>
      </c>
      <c r="BX15" s="4">
        <v>6.4527342646707397E-2</v>
      </c>
      <c r="BY15" s="4">
        <v>5.1196738404583102E-2</v>
      </c>
      <c r="BZ15" s="4">
        <v>8.3905415713196093E-3</v>
      </c>
      <c r="CA15" s="4">
        <v>8.7774567101918402E-2</v>
      </c>
      <c r="CB15" s="4">
        <v>2.6418454256827199E-2</v>
      </c>
      <c r="CC15" s="4">
        <v>3.2163742690058499E-2</v>
      </c>
      <c r="CD15" s="4">
        <v>2.15091142155691E-2</v>
      </c>
      <c r="CE15" s="4">
        <v>2.16736764412995E-2</v>
      </c>
      <c r="CF15" s="4">
        <v>2.1993389270277101E-2</v>
      </c>
      <c r="CG15" s="4">
        <v>2.14004823255915E-2</v>
      </c>
      <c r="CH15" s="4">
        <v>4.4319739447262703E-2</v>
      </c>
      <c r="CI15" s="4">
        <v>6.5420798372743505E-2</v>
      </c>
      <c r="CJ15" s="4">
        <v>2.6288917374584501E-2</v>
      </c>
      <c r="CK15" s="4">
        <v>3.9785840645758401E-2</v>
      </c>
      <c r="CL15" s="4">
        <v>3.4782608695652202E-2</v>
      </c>
      <c r="CM15" s="4">
        <v>4.4061094574923403E-2</v>
      </c>
      <c r="CN15" s="4">
        <v>1.7573251168621198E-2</v>
      </c>
      <c r="CO15" s="4">
        <v>0</v>
      </c>
      <c r="CP15" s="4">
        <v>3.2589566993286599E-2</v>
      </c>
      <c r="CQ15" s="4">
        <v>1.26527408414073E-3</v>
      </c>
      <c r="CR15" s="4">
        <v>0</v>
      </c>
      <c r="CS15" s="4">
        <v>2.34644882351663E-3</v>
      </c>
      <c r="CT15" s="1">
        <f>Table1[[#This Row],[Female %]]*Table1[[#This Row],[NWS_pin]]</f>
        <v>0</v>
      </c>
      <c r="CU15" s="1">
        <f>Table1[[#This Row],[Male %]]*Table1[[#This Row],[NWS_pin]]</f>
        <v>0</v>
      </c>
      <c r="CV15" s="1">
        <f>Table1[[#This Row],[Female% (0-2)22]]+Table1[[#This Row],[Male%(0-2)3]]</f>
        <v>0</v>
      </c>
      <c r="CW15" s="1">
        <f>$CT15*Table1[[#This Row],[Female% (0-2)]]</f>
        <v>0</v>
      </c>
      <c r="CX15" s="1">
        <f>$CU15*Table1[[#This Row],[Male%(0-2)]]</f>
        <v>0</v>
      </c>
      <c r="CY15" s="1">
        <f>Table1[[#This Row],[Female%  (3-5)5]]+Table1[[#This Row],[Male% (3-5)6]]</f>
        <v>0</v>
      </c>
      <c r="CZ15" s="1">
        <f>$AF15*Table1[[#This Row],[Female%  (3-5)]]</f>
        <v>0</v>
      </c>
      <c r="DA15" s="1">
        <f>$CU15*Table1[[#This Row],[Male% (3-5)]]</f>
        <v>0</v>
      </c>
      <c r="DB15" s="1">
        <f>Table1[[#This Row],[Female% (6-8)8]]+Table1[[#This Row],[Male%(6-8)9]]</f>
        <v>0</v>
      </c>
      <c r="DC15" s="1">
        <f>$CT15*Table1[[#This Row],[Female% (6-8)]]</f>
        <v>0</v>
      </c>
      <c r="DD15" s="1">
        <f>$CU15*Table1[[#This Row],[Male%(6-8)]]</f>
        <v>0</v>
      </c>
      <c r="DE15" s="1">
        <f>Table1[[#This Row],[Female% (9 - 11)11]]+Table1[[#This Row],[Male% (9 - 11)12]]</f>
        <v>0</v>
      </c>
      <c r="DF15" s="1">
        <f>$CT15*Table1[[#This Row],[Female% (9 - 11)]]</f>
        <v>0</v>
      </c>
      <c r="DG15" s="1">
        <f>$CU15*Table1[[#This Row],[Male% (9 - 11)]]</f>
        <v>0</v>
      </c>
      <c r="DH15" s="1">
        <f>Table1[[#This Row],[Female% (12-14)14]]+Table1[[#This Row],[Male%(12-14)15]]</f>
        <v>0</v>
      </c>
      <c r="DI15" s="1">
        <f>$CT15*Table1[[#This Row],[Female% (12-14)]]</f>
        <v>0</v>
      </c>
      <c r="DJ15" s="1">
        <f>$CU15*Table1[[#This Row],[Male%(12-14)]]</f>
        <v>0</v>
      </c>
      <c r="DK15" s="1">
        <f>Table1[[#This Row],[Female% (15-17)17]]+Table1[[#This Row],[Male%(15-17)18]]</f>
        <v>0</v>
      </c>
      <c r="DL15" s="1">
        <f>$CT15*Table1[[#This Row],[Female% (15-17)]]</f>
        <v>0</v>
      </c>
      <c r="DM15" s="1">
        <f>$CU15*Table1[[#This Row],[Male%(15-17)]]</f>
        <v>0</v>
      </c>
      <c r="DN15" s="1">
        <f>$AF15*Table1[[#This Row],[Total% (18-19)]]</f>
        <v>0</v>
      </c>
      <c r="DO15" s="1">
        <f>$CT15*Table1[[#This Row],[Female% (18-19)]]</f>
        <v>0</v>
      </c>
      <c r="DP15" s="1">
        <f>$CU15*Table1[[#This Row],[Male%(18-19)]]</f>
        <v>0</v>
      </c>
      <c r="DQ15" s="1">
        <f>$AF15*Table1[[#This Row],[Total% (20-24)]]</f>
        <v>0</v>
      </c>
      <c r="DR15" s="1">
        <f>$CT15*Table1[[#This Row],[Female% (20-24)]]</f>
        <v>0</v>
      </c>
      <c r="DS15" s="1">
        <f>$CU15*Table1[[#This Row],[Male% (20-24)]]</f>
        <v>0</v>
      </c>
      <c r="DT15" s="1">
        <f>$AF15*Table1[[#This Row],[Total% (25-29)]]</f>
        <v>0</v>
      </c>
      <c r="DU15" s="1">
        <f>$CT15*Table1[[#This Row],[Female% (25-29)]]</f>
        <v>0</v>
      </c>
      <c r="DV15" s="1">
        <f>$CU15*Table1[[#This Row],[Male% (25-29)]]</f>
        <v>0</v>
      </c>
      <c r="DW15" s="1">
        <f>$AF15*Table1[[#This Row],[Total%   (30-34)]]</f>
        <v>0</v>
      </c>
      <c r="DX15" s="1">
        <f>$CT15*Table1[[#This Row],[Female%   (30-34)]]</f>
        <v>0</v>
      </c>
      <c r="DY15" s="1">
        <f>$CU15*Table1[[#This Row],[Male%  (30-34)]]</f>
        <v>0</v>
      </c>
      <c r="DZ15" s="1">
        <f>$AF15*Table1[[#This Row],[Total% (35-39)]]</f>
        <v>0</v>
      </c>
      <c r="EA15" s="1">
        <f>$CT15*Table1[[#This Row],[Female% (35-39)]]</f>
        <v>0</v>
      </c>
      <c r="EB15" s="1">
        <f>$CU15*Table1[[#This Row],[Male% (35-39)]]</f>
        <v>0</v>
      </c>
      <c r="EC15" s="1">
        <f>$AF15*Table1[[#This Row],[Total% (40-44)]]</f>
        <v>0</v>
      </c>
      <c r="ED15" s="1">
        <f>$CT15*Table1[[#This Row],[Female% (40-44)]]</f>
        <v>0</v>
      </c>
      <c r="EE15" s="1">
        <f>$CU15*Table1[[#This Row],[Male%(55-59)]]</f>
        <v>0</v>
      </c>
      <c r="EF15" s="1">
        <f>$AF15*Table1[[#This Row],[Total% (45-49)]]</f>
        <v>0</v>
      </c>
      <c r="EG15" s="1">
        <f>$CT15*Table1[[#This Row],[Female% (45-49)]]</f>
        <v>0</v>
      </c>
      <c r="EH15" s="1">
        <f>$CU15*Table1[[#This Row],[Male% (45-49)]]</f>
        <v>0</v>
      </c>
      <c r="EI15" s="1">
        <f>$AF15*Table1[[#This Row],[Total% (50-54)]]</f>
        <v>0</v>
      </c>
      <c r="EJ15" s="1">
        <f>$CT15*Table1[[#This Row],[Female%(50-54)]]</f>
        <v>0</v>
      </c>
      <c r="EK15" s="1">
        <f>$CU15*Table1[[#This Row],[Male% (50-54)]]</f>
        <v>0</v>
      </c>
      <c r="EL15" s="1">
        <f>$AF15*Table1[[#This Row],[Total% (55-59)]]</f>
        <v>0</v>
      </c>
      <c r="EM15" s="1">
        <f>$CT15*Table1[[#This Row],[Female% (55-59)]]</f>
        <v>0</v>
      </c>
      <c r="EN15" s="1">
        <f>$CU15*Table1[[#This Row],[Male% (55-59)]]</f>
        <v>0</v>
      </c>
      <c r="EO15" s="1">
        <f>$AF15*Table1[[#This Row],[Total% (60-64)]]</f>
        <v>0</v>
      </c>
      <c r="EP15" s="1">
        <f>$CT15*Table1[[#This Row],[Female%(60-64)]]</f>
        <v>0</v>
      </c>
      <c r="EQ15" s="1">
        <f>$CU15*Table1[[#This Row],[Male%(60-64)]]</f>
        <v>0</v>
      </c>
      <c r="ER15" s="1">
        <f>$AF15*Table1[[#This Row],[Total% (&gt;=65)]]</f>
        <v>0</v>
      </c>
      <c r="ES15" s="1">
        <f>$CT15*Table1[[#This Row],[Female%(&gt;=65)]]</f>
        <v>0</v>
      </c>
      <c r="ET15" s="1">
        <f>$CU15*Table1[[#This Row],[Male% (&gt;=65)]]</f>
        <v>0</v>
      </c>
    </row>
    <row r="16" spans="1:150" hidden="1" x14ac:dyDescent="0.35">
      <c r="A16" t="s">
        <v>54</v>
      </c>
      <c r="B16" t="s">
        <v>55</v>
      </c>
      <c r="C16" t="s">
        <v>112</v>
      </c>
      <c r="D16" t="s">
        <v>113</v>
      </c>
      <c r="E16" t="s">
        <v>487</v>
      </c>
      <c r="F16" t="s">
        <v>488</v>
      </c>
      <c r="H16">
        <v>3</v>
      </c>
      <c r="I16" s="1">
        <v>0</v>
      </c>
      <c r="J16" s="1">
        <v>375</v>
      </c>
      <c r="K16" s="1">
        <v>18180</v>
      </c>
      <c r="L16" s="1">
        <v>937</v>
      </c>
      <c r="M16" s="1">
        <v>0</v>
      </c>
      <c r="N16" s="1">
        <v>19117</v>
      </c>
      <c r="O16" s="3">
        <v>1</v>
      </c>
      <c r="P16" s="3">
        <v>0</v>
      </c>
      <c r="Q16" s="3">
        <v>0</v>
      </c>
      <c r="R16" s="3">
        <v>0</v>
      </c>
      <c r="S16" s="3">
        <v>0</v>
      </c>
      <c r="T16" s="1">
        <v>19492</v>
      </c>
      <c r="U16" s="1">
        <v>0</v>
      </c>
      <c r="V16" s="10">
        <f>Table1[[#This Row],[Pop NW+RATAA]]*Table1[[#This Row],[Perc_pop_Northern_Aleppo]]</f>
        <v>0</v>
      </c>
      <c r="W16" s="10">
        <f>Table1[[#This Row],[Pop NW+RATAA]]*Table1[[#This Row],[Perc_pop_Afrin District]]</f>
        <v>0</v>
      </c>
      <c r="X16" s="10">
        <f>Table1[[#This Row],[Pop NW+RATAA]]*Table1[[#This Row],[Perc_pop_Euphrates Shiled]]</f>
        <v>0</v>
      </c>
      <c r="Y16" s="10">
        <f>Table1[[#This Row],[Pop NW+RATAA]]*Table1[[#This Row],[Perc_Pop_Idleb_NSAG]]</f>
        <v>0</v>
      </c>
      <c r="Z16" s="3">
        <v>0</v>
      </c>
      <c r="AA16" s="3">
        <v>0</v>
      </c>
      <c r="AB16" s="3">
        <v>0</v>
      </c>
      <c r="AC16" s="3">
        <v>0</v>
      </c>
      <c r="AD16" s="1">
        <v>19117</v>
      </c>
      <c r="AE16" s="1">
        <v>0</v>
      </c>
      <c r="AF16" s="1">
        <v>0</v>
      </c>
      <c r="AG16" s="1">
        <v>0</v>
      </c>
      <c r="AH16" s="1">
        <v>0</v>
      </c>
      <c r="AI16" s="1">
        <f>Table1[[#This Row],[NWS_pin]]*Table1[[#This Row],[Perc_pop_Northern_Aleppo]]</f>
        <v>0</v>
      </c>
      <c r="AJ16" s="1">
        <f>Table1[[#This Row],[NWS_pin]]*Table1[[#This Row],[Perc_pop_Afrin District]]</f>
        <v>0</v>
      </c>
      <c r="AK16" s="1">
        <f>Table1[[#This Row],[NWS_pin]]*Table1[[#This Row],[Perc_pop_Euphrates Shiled]]</f>
        <v>0</v>
      </c>
      <c r="AL16" s="1">
        <f>Table1[[#This Row],[NWS_pin]]*Table1[[#This Row],[Perc_Pop_Idleb_NSAG]]</f>
        <v>0</v>
      </c>
      <c r="AM16" s="4">
        <v>0.48563129682874501</v>
      </c>
      <c r="AN16" s="4">
        <v>0.51436870317125505</v>
      </c>
      <c r="AO16" s="4">
        <v>0.41020924465049002</v>
      </c>
      <c r="AP16" s="4">
        <v>0.48480729693137198</v>
      </c>
      <c r="AQ16" s="4">
        <v>0.49504701300826398</v>
      </c>
      <c r="AR16" s="4">
        <v>0</v>
      </c>
      <c r="AS16" s="4">
        <v>0</v>
      </c>
      <c r="AT16" s="4">
        <v>2.0145690060363899E-2</v>
      </c>
      <c r="AU16" s="4">
        <v>4.7577244308594099E-2</v>
      </c>
      <c r="AV16" s="4">
        <v>4.0141843557207998E-2</v>
      </c>
      <c r="AW16" s="4">
        <v>5.4597234613359698E-2</v>
      </c>
      <c r="AX16" s="4">
        <v>6.3627601709524695E-2</v>
      </c>
      <c r="AY16" s="4">
        <v>5.3259784822188398E-2</v>
      </c>
      <c r="AZ16" s="4">
        <v>7.3416176187789006E-2</v>
      </c>
      <c r="BA16" s="4">
        <v>8.2836546208752998E-2</v>
      </c>
      <c r="BB16" s="4">
        <v>9.4612874857202697E-2</v>
      </c>
      <c r="BC16" s="4">
        <v>7.1718152499787205E-2</v>
      </c>
      <c r="BD16" s="4">
        <v>0.13258991777701001</v>
      </c>
      <c r="BE16" s="4">
        <v>0.130741577517062</v>
      </c>
      <c r="BF16" s="4">
        <v>0.13433499260735099</v>
      </c>
      <c r="BG16" s="4">
        <v>0.126123357795171</v>
      </c>
      <c r="BH16" s="4">
        <v>0.117580228383821</v>
      </c>
      <c r="BI16" s="4">
        <v>0.13418918876317401</v>
      </c>
      <c r="BJ16" s="4">
        <v>8.2792156131455394E-2</v>
      </c>
      <c r="BK16" s="4">
        <v>6.7269674303251495E-2</v>
      </c>
      <c r="BL16" s="4">
        <v>9.7447408159340707E-2</v>
      </c>
      <c r="BM16" s="4">
        <v>2.5460648399170199E-2</v>
      </c>
      <c r="BN16" s="4">
        <v>2.2319991952848998E-2</v>
      </c>
      <c r="BO16" s="4">
        <v>2.8425838647949099E-2</v>
      </c>
      <c r="BP16" s="4">
        <v>6.8050191191508694E-2</v>
      </c>
      <c r="BQ16" s="4">
        <v>0.107577636433226</v>
      </c>
      <c r="BR16" s="4">
        <v>3.0731115643727901E-2</v>
      </c>
      <c r="BS16" s="4">
        <v>7.63553922288987E-2</v>
      </c>
      <c r="BT16" s="4">
        <v>8.4406182449113701E-2</v>
      </c>
      <c r="BU16" s="4">
        <v>6.8754393818547505E-2</v>
      </c>
      <c r="BV16" s="4">
        <v>9.0376373127990406E-2</v>
      </c>
      <c r="BW16" s="4">
        <v>0.110885816854691</v>
      </c>
      <c r="BX16" s="4">
        <v>7.1012777145523301E-2</v>
      </c>
      <c r="BY16" s="4">
        <v>0.115425551860887</v>
      </c>
      <c r="BZ16" s="4">
        <v>0.14053297349323601</v>
      </c>
      <c r="CA16" s="4">
        <v>9.1720863663159999E-2</v>
      </c>
      <c r="CB16" s="4">
        <v>5.2042602312540598E-2</v>
      </c>
      <c r="CC16" s="4">
        <v>9.7459011911703395E-3</v>
      </c>
      <c r="CD16" s="4">
        <v>9.1976217422692394E-2</v>
      </c>
      <c r="CE16" s="4">
        <v>1.64182477675744E-2</v>
      </c>
      <c r="CF16" s="4">
        <v>0</v>
      </c>
      <c r="CG16" s="4">
        <v>3.1919219941552397E-2</v>
      </c>
      <c r="CH16" s="4">
        <v>4.2565827545563099E-3</v>
      </c>
      <c r="CI16" s="4">
        <v>3.7564501379243201E-3</v>
      </c>
      <c r="CJ16" s="4">
        <v>4.7287733246744196E-3</v>
      </c>
      <c r="CK16" s="4">
        <v>2.4323330026036101E-3</v>
      </c>
      <c r="CL16" s="4">
        <v>5.0086001838991001E-3</v>
      </c>
      <c r="CM16" s="4">
        <v>0</v>
      </c>
      <c r="CN16" s="4">
        <v>6.10819625278831E-3</v>
      </c>
      <c r="CO16" s="4">
        <v>8.8213970738923002E-3</v>
      </c>
      <c r="CP16" s="4">
        <v>3.54657999350581E-3</v>
      </c>
      <c r="CQ16" s="4">
        <v>7.5270571709737596E-3</v>
      </c>
      <c r="CR16" s="4">
        <v>3.3390667892660699E-3</v>
      </c>
      <c r="CS16" s="4">
        <v>1.1481067567865801E-2</v>
      </c>
      <c r="CT16" s="1">
        <f>Table1[[#This Row],[Female %]]*Table1[[#This Row],[NWS_pin]]</f>
        <v>0</v>
      </c>
      <c r="CU16" s="1">
        <f>Table1[[#This Row],[Male %]]*Table1[[#This Row],[NWS_pin]]</f>
        <v>0</v>
      </c>
      <c r="CV16" s="1">
        <f>Table1[[#This Row],[Female% (0-2)22]]+Table1[[#This Row],[Male%(0-2)3]]</f>
        <v>0</v>
      </c>
      <c r="CW16" s="1">
        <f>$CT16*Table1[[#This Row],[Female% (0-2)]]</f>
        <v>0</v>
      </c>
      <c r="CX16" s="1">
        <f>$CU16*Table1[[#This Row],[Male%(0-2)]]</f>
        <v>0</v>
      </c>
      <c r="CY16" s="1">
        <f>Table1[[#This Row],[Female%  (3-5)5]]+Table1[[#This Row],[Male% (3-5)6]]</f>
        <v>0</v>
      </c>
      <c r="CZ16" s="1">
        <f>$AF16*Table1[[#This Row],[Female%  (3-5)]]</f>
        <v>0</v>
      </c>
      <c r="DA16" s="1">
        <f>$CU16*Table1[[#This Row],[Male% (3-5)]]</f>
        <v>0</v>
      </c>
      <c r="DB16" s="1">
        <f>Table1[[#This Row],[Female% (6-8)8]]+Table1[[#This Row],[Male%(6-8)9]]</f>
        <v>0</v>
      </c>
      <c r="DC16" s="1">
        <f>$CT16*Table1[[#This Row],[Female% (6-8)]]</f>
        <v>0</v>
      </c>
      <c r="DD16" s="1">
        <f>$CU16*Table1[[#This Row],[Male%(6-8)]]</f>
        <v>0</v>
      </c>
      <c r="DE16" s="1">
        <f>Table1[[#This Row],[Female% (9 - 11)11]]+Table1[[#This Row],[Male% (9 - 11)12]]</f>
        <v>0</v>
      </c>
      <c r="DF16" s="1">
        <f>$CT16*Table1[[#This Row],[Female% (9 - 11)]]</f>
        <v>0</v>
      </c>
      <c r="DG16" s="1">
        <f>$CU16*Table1[[#This Row],[Male% (9 - 11)]]</f>
        <v>0</v>
      </c>
      <c r="DH16" s="1">
        <f>Table1[[#This Row],[Female% (12-14)14]]+Table1[[#This Row],[Male%(12-14)15]]</f>
        <v>0</v>
      </c>
      <c r="DI16" s="1">
        <f>$CT16*Table1[[#This Row],[Female% (12-14)]]</f>
        <v>0</v>
      </c>
      <c r="DJ16" s="1">
        <f>$CU16*Table1[[#This Row],[Male%(12-14)]]</f>
        <v>0</v>
      </c>
      <c r="DK16" s="1">
        <f>Table1[[#This Row],[Female% (15-17)17]]+Table1[[#This Row],[Male%(15-17)18]]</f>
        <v>0</v>
      </c>
      <c r="DL16" s="1">
        <f>$CT16*Table1[[#This Row],[Female% (15-17)]]</f>
        <v>0</v>
      </c>
      <c r="DM16" s="1">
        <f>$CU16*Table1[[#This Row],[Male%(15-17)]]</f>
        <v>0</v>
      </c>
      <c r="DN16" s="1">
        <f>$AF16*Table1[[#This Row],[Total% (18-19)]]</f>
        <v>0</v>
      </c>
      <c r="DO16" s="1">
        <f>$CT16*Table1[[#This Row],[Female% (18-19)]]</f>
        <v>0</v>
      </c>
      <c r="DP16" s="1">
        <f>$CU16*Table1[[#This Row],[Male%(18-19)]]</f>
        <v>0</v>
      </c>
      <c r="DQ16" s="1">
        <f>$AF16*Table1[[#This Row],[Total% (20-24)]]</f>
        <v>0</v>
      </c>
      <c r="DR16" s="1">
        <f>$CT16*Table1[[#This Row],[Female% (20-24)]]</f>
        <v>0</v>
      </c>
      <c r="DS16" s="1">
        <f>$CU16*Table1[[#This Row],[Male% (20-24)]]</f>
        <v>0</v>
      </c>
      <c r="DT16" s="1">
        <f>$AF16*Table1[[#This Row],[Total% (25-29)]]</f>
        <v>0</v>
      </c>
      <c r="DU16" s="1">
        <f>$CT16*Table1[[#This Row],[Female% (25-29)]]</f>
        <v>0</v>
      </c>
      <c r="DV16" s="1">
        <f>$CU16*Table1[[#This Row],[Male% (25-29)]]</f>
        <v>0</v>
      </c>
      <c r="DW16" s="1">
        <f>$AF16*Table1[[#This Row],[Total%   (30-34)]]</f>
        <v>0</v>
      </c>
      <c r="DX16" s="1">
        <f>$CT16*Table1[[#This Row],[Female%   (30-34)]]</f>
        <v>0</v>
      </c>
      <c r="DY16" s="1">
        <f>$CU16*Table1[[#This Row],[Male%  (30-34)]]</f>
        <v>0</v>
      </c>
      <c r="DZ16" s="1">
        <f>$AF16*Table1[[#This Row],[Total% (35-39)]]</f>
        <v>0</v>
      </c>
      <c r="EA16" s="1">
        <f>$CT16*Table1[[#This Row],[Female% (35-39)]]</f>
        <v>0</v>
      </c>
      <c r="EB16" s="1">
        <f>$CU16*Table1[[#This Row],[Male% (35-39)]]</f>
        <v>0</v>
      </c>
      <c r="EC16" s="1">
        <f>$AF16*Table1[[#This Row],[Total% (40-44)]]</f>
        <v>0</v>
      </c>
      <c r="ED16" s="1">
        <f>$CT16*Table1[[#This Row],[Female% (40-44)]]</f>
        <v>0</v>
      </c>
      <c r="EE16" s="1">
        <f>$CU16*Table1[[#This Row],[Male%(55-59)]]</f>
        <v>0</v>
      </c>
      <c r="EF16" s="1">
        <f>$AF16*Table1[[#This Row],[Total% (45-49)]]</f>
        <v>0</v>
      </c>
      <c r="EG16" s="1">
        <f>$CT16*Table1[[#This Row],[Female% (45-49)]]</f>
        <v>0</v>
      </c>
      <c r="EH16" s="1">
        <f>$CU16*Table1[[#This Row],[Male% (45-49)]]</f>
        <v>0</v>
      </c>
      <c r="EI16" s="1">
        <f>$AF16*Table1[[#This Row],[Total% (50-54)]]</f>
        <v>0</v>
      </c>
      <c r="EJ16" s="1">
        <f>$CT16*Table1[[#This Row],[Female%(50-54)]]</f>
        <v>0</v>
      </c>
      <c r="EK16" s="1">
        <f>$CU16*Table1[[#This Row],[Male% (50-54)]]</f>
        <v>0</v>
      </c>
      <c r="EL16" s="1">
        <f>$AF16*Table1[[#This Row],[Total% (55-59)]]</f>
        <v>0</v>
      </c>
      <c r="EM16" s="1">
        <f>$CT16*Table1[[#This Row],[Female% (55-59)]]</f>
        <v>0</v>
      </c>
      <c r="EN16" s="1">
        <f>$CU16*Table1[[#This Row],[Male% (55-59)]]</f>
        <v>0</v>
      </c>
      <c r="EO16" s="1">
        <f>$AF16*Table1[[#This Row],[Total% (60-64)]]</f>
        <v>0</v>
      </c>
      <c r="EP16" s="1">
        <f>$CT16*Table1[[#This Row],[Female%(60-64)]]</f>
        <v>0</v>
      </c>
      <c r="EQ16" s="1">
        <f>$CU16*Table1[[#This Row],[Male%(60-64)]]</f>
        <v>0</v>
      </c>
      <c r="ER16" s="1">
        <f>$AF16*Table1[[#This Row],[Total% (&gt;=65)]]</f>
        <v>0</v>
      </c>
      <c r="ES16" s="1">
        <f>$CT16*Table1[[#This Row],[Female%(&gt;=65)]]</f>
        <v>0</v>
      </c>
      <c r="ET16" s="1">
        <f>$CU16*Table1[[#This Row],[Male% (&gt;=65)]]</f>
        <v>0</v>
      </c>
    </row>
    <row r="17" spans="1:150" x14ac:dyDescent="0.35">
      <c r="A17" t="s">
        <v>54</v>
      </c>
      <c r="B17" t="s">
        <v>55</v>
      </c>
      <c r="C17" t="s">
        <v>112</v>
      </c>
      <c r="D17" t="s">
        <v>113</v>
      </c>
      <c r="E17" t="s">
        <v>423</v>
      </c>
      <c r="F17" t="s">
        <v>424</v>
      </c>
      <c r="G17" t="s">
        <v>1143</v>
      </c>
      <c r="H17">
        <v>4</v>
      </c>
      <c r="I17" s="1">
        <v>0</v>
      </c>
      <c r="J17" s="1">
        <v>949</v>
      </c>
      <c r="K17" s="1">
        <v>34641</v>
      </c>
      <c r="L17" s="1">
        <v>11863</v>
      </c>
      <c r="M17" s="1">
        <v>0</v>
      </c>
      <c r="N17" s="1">
        <v>46504</v>
      </c>
      <c r="O17" s="3">
        <v>7.0000000000000007E-2</v>
      </c>
      <c r="P17" s="3">
        <v>0.22</v>
      </c>
      <c r="Q17" s="3">
        <v>0.71</v>
      </c>
      <c r="R17" s="3">
        <v>0</v>
      </c>
      <c r="S17" s="3">
        <v>0</v>
      </c>
      <c r="T17" s="1">
        <v>47453</v>
      </c>
      <c r="U17" s="1">
        <v>38122.5</v>
      </c>
      <c r="V17" s="10">
        <f>Table1[[#This Row],[Pop NW+RATAA]]*Table1[[#This Row],[Perc_pop_Northern_Aleppo]]</f>
        <v>38122.5</v>
      </c>
      <c r="W17" s="10">
        <f>Table1[[#This Row],[Pop NW+RATAA]]*Table1[[#This Row],[Perc_pop_Afrin District]]</f>
        <v>0</v>
      </c>
      <c r="X17" s="10">
        <f>Table1[[#This Row],[Pop NW+RATAA]]*Table1[[#This Row],[Perc_pop_Euphrates Shiled]]</f>
        <v>38122.5</v>
      </c>
      <c r="Y17" s="10">
        <f>Table1[[#This Row],[Pop NW+RATAA]]*Table1[[#This Row],[Perc_Pop_Idleb_NSAG]]</f>
        <v>0</v>
      </c>
      <c r="Z17" s="3">
        <v>1</v>
      </c>
      <c r="AA17" s="3">
        <v>0</v>
      </c>
      <c r="AB17" s="3">
        <v>1</v>
      </c>
      <c r="AC17" s="3">
        <v>0</v>
      </c>
      <c r="AD17" s="1">
        <v>3255.28</v>
      </c>
      <c r="AE17" s="1">
        <v>10230.879999999999</v>
      </c>
      <c r="AF17" s="1">
        <v>33017.839999999997</v>
      </c>
      <c r="AG17" s="1">
        <v>0</v>
      </c>
      <c r="AH17" s="1">
        <v>0</v>
      </c>
      <c r="AI17" s="1">
        <f>Table1[[#This Row],[NWS_pin]]*Table1[[#This Row],[Perc_pop_Northern_Aleppo]]</f>
        <v>33017.839999999997</v>
      </c>
      <c r="AJ17" s="1">
        <f>Table1[[#This Row],[NWS_pin]]*Table1[[#This Row],[Perc_pop_Afrin District]]</f>
        <v>0</v>
      </c>
      <c r="AK17" s="1">
        <f>Table1[[#This Row],[NWS_pin]]*Table1[[#This Row],[Perc_pop_Euphrates Shiled]]</f>
        <v>33017.839999999997</v>
      </c>
      <c r="AL17" s="1">
        <f>Table1[[#This Row],[NWS_pin]]*Table1[[#This Row],[Perc_Pop_Idleb_NSAG]]</f>
        <v>0</v>
      </c>
      <c r="AM17" s="4">
        <v>0.494053466965995</v>
      </c>
      <c r="AN17" s="4">
        <v>0.50594653303400505</v>
      </c>
      <c r="AO17" s="4">
        <v>0.115803746485565</v>
      </c>
      <c r="AP17" s="4">
        <v>0.372142178816596</v>
      </c>
      <c r="AQ17" s="4">
        <v>0.58206067249890503</v>
      </c>
      <c r="AR17" s="4">
        <v>5.1752309911924201E-3</v>
      </c>
      <c r="AS17" s="4">
        <v>0</v>
      </c>
      <c r="AT17" s="4">
        <v>4.0621917693306697E-2</v>
      </c>
      <c r="AU17" s="4">
        <v>9.2339950746784902E-2</v>
      </c>
      <c r="AV17" s="4">
        <v>0.113167649733998</v>
      </c>
      <c r="AW17" s="4">
        <v>7.2001839460892794E-2</v>
      </c>
      <c r="AX17" s="4">
        <v>0.14875955549387501</v>
      </c>
      <c r="AY17" s="4">
        <v>0.18883313865853699</v>
      </c>
      <c r="AZ17" s="4">
        <v>0.109627964696076</v>
      </c>
      <c r="BA17" s="4">
        <v>0.135281618621519</v>
      </c>
      <c r="BB17" s="4">
        <v>5.2658724581206899E-2</v>
      </c>
      <c r="BC17" s="4">
        <v>0.215962332068835</v>
      </c>
      <c r="BD17" s="4">
        <v>6.7773106363737706E-2</v>
      </c>
      <c r="BE17" s="4">
        <v>7.7457749107000096E-2</v>
      </c>
      <c r="BF17" s="4">
        <v>5.8316116323815302E-2</v>
      </c>
      <c r="BG17" s="4">
        <v>6.5426978761334506E-2</v>
      </c>
      <c r="BH17" s="4">
        <v>5.8828340449868399E-2</v>
      </c>
      <c r="BI17" s="4">
        <v>7.1870505739342894E-2</v>
      </c>
      <c r="BJ17" s="4">
        <v>3.3167549628106599E-2</v>
      </c>
      <c r="BK17" s="4">
        <v>1.7705511154623502E-2</v>
      </c>
      <c r="BL17" s="4">
        <v>4.8266128658536502E-2</v>
      </c>
      <c r="BM17" s="4">
        <v>2.88908428589373E-2</v>
      </c>
      <c r="BN17" s="4">
        <v>5.1019336619379303E-2</v>
      </c>
      <c r="BO17" s="4">
        <v>7.2825140192831596E-3</v>
      </c>
      <c r="BP17" s="4">
        <v>5.5163580916060301E-2</v>
      </c>
      <c r="BQ17" s="4">
        <v>6.4419182495100799E-2</v>
      </c>
      <c r="BR17" s="4">
        <v>4.6125546755495003E-2</v>
      </c>
      <c r="BS17" s="4">
        <v>0.12179061167831801</v>
      </c>
      <c r="BT17" s="4">
        <v>0.154839163076088</v>
      </c>
      <c r="BU17" s="4">
        <v>8.9518918267633293E-2</v>
      </c>
      <c r="BV17" s="4">
        <v>8.4735364488856907E-2</v>
      </c>
      <c r="BW17" s="4">
        <v>5.9847152012743501E-2</v>
      </c>
      <c r="BX17" s="4">
        <v>0.109038540531341</v>
      </c>
      <c r="BY17" s="4">
        <v>3.6126573758749898E-2</v>
      </c>
      <c r="BZ17" s="4">
        <v>3.5932847696456001E-2</v>
      </c>
      <c r="CA17" s="4">
        <v>3.6315745986384297E-2</v>
      </c>
      <c r="CB17" s="4">
        <v>3.8928657267722697E-2</v>
      </c>
      <c r="CC17" s="4">
        <v>3.4390999077516103E-2</v>
      </c>
      <c r="CD17" s="4">
        <v>4.3359650691740297E-2</v>
      </c>
      <c r="CE17" s="4">
        <v>2.4330186306377E-2</v>
      </c>
      <c r="CF17" s="4">
        <v>1.4941694494661401E-2</v>
      </c>
      <c r="CG17" s="4">
        <v>3.3497986906461802E-2</v>
      </c>
      <c r="CH17" s="4">
        <v>1.0908021721060999E-2</v>
      </c>
      <c r="CI17" s="4">
        <v>2.1327391309264799E-2</v>
      </c>
      <c r="CJ17" s="4">
        <v>7.3357574199115903E-4</v>
      </c>
      <c r="CK17" s="4">
        <v>1.8661766421072399E-2</v>
      </c>
      <c r="CL17" s="4">
        <v>2.69353986632869E-2</v>
      </c>
      <c r="CM17" s="4">
        <v>1.05826188693429E-2</v>
      </c>
      <c r="CN17" s="4">
        <v>2.1420449313117901E-2</v>
      </c>
      <c r="CO17" s="4">
        <v>1.7723686187459699E-2</v>
      </c>
      <c r="CP17" s="4">
        <v>2.50303142287467E-2</v>
      </c>
      <c r="CQ17" s="4">
        <v>1.6295185654369999E-2</v>
      </c>
      <c r="CR17" s="4">
        <v>9.9720346828093206E-3</v>
      </c>
      <c r="CS17" s="4">
        <v>2.24697010540813E-2</v>
      </c>
      <c r="CT17" s="1">
        <f>Table1[[#This Row],[Female %]]*Table1[[#This Row],[NWS_pin]]</f>
        <v>16312.578323728507</v>
      </c>
      <c r="CU17" s="1">
        <f>Table1[[#This Row],[Male %]]*Table1[[#This Row],[NWS_pin]]</f>
        <v>16705.261676271493</v>
      </c>
      <c r="CV17" s="1">
        <f>Table1[[#This Row],[Female% (0-2)22]]+Table1[[#This Row],[Male%(0-2)3]]</f>
        <v>3048.8657193652207</v>
      </c>
      <c r="CW17" s="1">
        <f>$CT17*Table1[[#This Row],[Female% (0-2)]]</f>
        <v>1846.0561499981159</v>
      </c>
      <c r="CX17" s="1">
        <f>$CU17*Table1[[#This Row],[Male%(0-2)]]</f>
        <v>1202.8095693671048</v>
      </c>
      <c r="CY17" s="1">
        <f>Table1[[#This Row],[Female%  (3-5)5]]+Table1[[#This Row],[Male% (3-5)6]]</f>
        <v>8066.2261962103912</v>
      </c>
      <c r="CZ17" s="1">
        <f>$AF17*Table1[[#This Row],[Female%  (3-5)]]</f>
        <v>6234.8623589253884</v>
      </c>
      <c r="DA17" s="1">
        <f>$CU17*Table1[[#This Row],[Male% (3-5)]]</f>
        <v>1831.3638372850025</v>
      </c>
      <c r="DB17" s="1">
        <f>Table1[[#This Row],[Female% (6-8)8]]+Table1[[#This Row],[Male%(6-8)9]]</f>
        <v>4466.7068385863131</v>
      </c>
      <c r="DC17" s="1">
        <f>$CT17*Table1[[#This Row],[Female% (6-8)]]</f>
        <v>858.99956915858513</v>
      </c>
      <c r="DD17" s="1">
        <f>$CU17*Table1[[#This Row],[Male%(6-8)]]</f>
        <v>3607.7072694277276</v>
      </c>
      <c r="DE17" s="1">
        <f>Table1[[#This Row],[Female% (9 - 11)11]]+Table1[[#This Row],[Male% (9 - 11)12]]</f>
        <v>2237.7215822208727</v>
      </c>
      <c r="DF17" s="1">
        <f>$CT17*Table1[[#This Row],[Female% (9 - 11)]]</f>
        <v>1263.5355990876508</v>
      </c>
      <c r="DG17" s="1">
        <f>$CU17*Table1[[#This Row],[Male% (9 - 11)]]</f>
        <v>974.18598313322218</v>
      </c>
      <c r="DH17" s="1">
        <f>Table1[[#This Row],[Female% (12-14)14]]+Table1[[#This Row],[Male%(12-14)15]]</f>
        <v>2160.2575164251393</v>
      </c>
      <c r="DI17" s="1">
        <f>$CT17*Table1[[#This Row],[Female% (12-14)]]</f>
        <v>959.64191124344416</v>
      </c>
      <c r="DJ17" s="1">
        <f>$CU17*Table1[[#This Row],[Male%(12-14)]]</f>
        <v>1200.6156051816952</v>
      </c>
      <c r="DK17" s="1">
        <f>Table1[[#This Row],[Female% (15-17)17]]+Table1[[#This Row],[Male%(15-17)18]]</f>
        <v>1095.1208468128837</v>
      </c>
      <c r="DL17" s="1">
        <f>$CT17*Table1[[#This Row],[Female% (15-17)]]</f>
        <v>288.8225374714446</v>
      </c>
      <c r="DM17" s="1">
        <f>$CU17*Table1[[#This Row],[Male%(15-17)]]</f>
        <v>806.29830934143899</v>
      </c>
      <c r="DN17" s="1">
        <f>$AF17*Table1[[#This Row],[Total% (18-19)]]</f>
        <v>953.91322698153419</v>
      </c>
      <c r="DO17" s="1">
        <f>$CT17*Table1[[#This Row],[Female% (18-19)]]</f>
        <v>832.25692462829488</v>
      </c>
      <c r="DP17" s="1">
        <f>$CU17*Table1[[#This Row],[Male%(18-19)]]</f>
        <v>121.65630235324085</v>
      </c>
      <c r="DQ17" s="1">
        <f>$AF17*Table1[[#This Row],[Total% (20-24)]]</f>
        <v>1821.3822885135323</v>
      </c>
      <c r="DR17" s="1">
        <f>$CT17*Table1[[#This Row],[Female% (20-24)]]</f>
        <v>1050.8429600018922</v>
      </c>
      <c r="DS17" s="1">
        <f>$CU17*Table1[[#This Row],[Male% (20-24)]]</f>
        <v>770.53932851163961</v>
      </c>
      <c r="DT17" s="1">
        <f>$AF17*Table1[[#This Row],[Total% (25-29)]]</f>
        <v>4021.262929896835</v>
      </c>
      <c r="DU17" s="1">
        <f>$CT17*Table1[[#This Row],[Female% (25-29)]]</f>
        <v>2525.8259752592567</v>
      </c>
      <c r="DV17" s="1">
        <f>$CU17*Table1[[#This Row],[Male% (25-29)]]</f>
        <v>1495.4369546375744</v>
      </c>
      <c r="DW17" s="1">
        <f>$AF17*Table1[[#This Row],[Total%   (30-34)]]</f>
        <v>2797.778707034759</v>
      </c>
      <c r="DX17" s="1">
        <f>$CT17*Table1[[#This Row],[Female%   (30-34)]]</f>
        <v>976.26135465996447</v>
      </c>
      <c r="DY17" s="1">
        <f>$CU17*Table1[[#This Row],[Male%  (30-34)]]</f>
        <v>1821.5173523747867</v>
      </c>
      <c r="DZ17" s="1">
        <f>$AF17*Table1[[#This Row],[Total% (35-39)]]</f>
        <v>1192.8214321146027</v>
      </c>
      <c r="EA17" s="1">
        <f>$CT17*Table1[[#This Row],[Female% (35-39)]]</f>
        <v>586.15739244304598</v>
      </c>
      <c r="EB17" s="1">
        <f>$CU17*Table1[[#This Row],[Male% (35-39)]]</f>
        <v>606.66403967155588</v>
      </c>
      <c r="EC17" s="1">
        <f>$AF17*Table1[[#This Row],[Total% (40-44)]]</f>
        <v>1285.3401770805051</v>
      </c>
      <c r="ED17" s="1">
        <f>$CT17*Table1[[#This Row],[Female% (40-44)]]</f>
        <v>561.00586608325625</v>
      </c>
      <c r="EE17" s="1">
        <f>$CU17*Table1[[#This Row],[Male%(55-59)]]</f>
        <v>724.33431099724794</v>
      </c>
      <c r="EF17" s="1">
        <f>$AF17*Table1[[#This Row],[Total% (45-49)]]</f>
        <v>803.33019863414665</v>
      </c>
      <c r="EG17" s="1">
        <f>$CT17*Table1[[#This Row],[Female% (45-49)]]</f>
        <v>243.73756173338714</v>
      </c>
      <c r="EH17" s="1">
        <f>$CU17*Table1[[#This Row],[Male% (45-49)]]</f>
        <v>559.59263690076057</v>
      </c>
      <c r="EI17" s="1">
        <f>$AF17*Table1[[#This Row],[Total% (50-54)]]</f>
        <v>360.15931590251665</v>
      </c>
      <c r="EJ17" s="1">
        <f>$CT17*Table1[[#This Row],[Female%(50-54)]]</f>
        <v>347.90474117318871</v>
      </c>
      <c r="EK17" s="1">
        <f>$CU17*Table1[[#This Row],[Male% (50-54)]]</f>
        <v>12.254574729327334</v>
      </c>
      <c r="EL17" s="1">
        <f>$AF17*Table1[[#This Row],[Total% (55-59)]]</f>
        <v>616.171217808341</v>
      </c>
      <c r="EM17" s="1">
        <f>$CT17*Table1[[#This Row],[Female% (55-59)]]</f>
        <v>439.38580037571967</v>
      </c>
      <c r="EN17" s="1">
        <f>$CU17*Table1[[#This Row],[Male% (55-59)]]</f>
        <v>176.7854174326215</v>
      </c>
      <c r="EO17" s="1">
        <f>$AF17*Table1[[#This Row],[Total% (60-64)]]</f>
        <v>707.2569681486367</v>
      </c>
      <c r="EP17" s="1">
        <f>$CT17*Table1[[#This Row],[Female%(60-64)]]</f>
        <v>289.11901911812146</v>
      </c>
      <c r="EQ17" s="1">
        <f>$CU17*Table1[[#This Row],[Male%(60-64)]]</f>
        <v>418.1379490305153</v>
      </c>
      <c r="ER17" s="1">
        <f>$AF17*Table1[[#This Row],[Total% (&gt;=65)]]</f>
        <v>538.03183270628392</v>
      </c>
      <c r="ES17" s="1">
        <f>$CT17*Table1[[#This Row],[Female%(&gt;=65)]]</f>
        <v>162.66959681026421</v>
      </c>
      <c r="ET17" s="1">
        <f>$CU17*Table1[[#This Row],[Male% (&gt;=65)]]</f>
        <v>375.3622358960215</v>
      </c>
    </row>
    <row r="18" spans="1:150" x14ac:dyDescent="0.35">
      <c r="A18" t="s">
        <v>54</v>
      </c>
      <c r="B18" t="s">
        <v>55</v>
      </c>
      <c r="C18" t="s">
        <v>163</v>
      </c>
      <c r="D18" t="s">
        <v>164</v>
      </c>
      <c r="E18" t="s">
        <v>163</v>
      </c>
      <c r="F18" t="s">
        <v>302</v>
      </c>
      <c r="G18" t="s">
        <v>1143</v>
      </c>
      <c r="H18">
        <v>4</v>
      </c>
      <c r="I18" s="1">
        <v>0</v>
      </c>
      <c r="J18" s="1">
        <v>41331</v>
      </c>
      <c r="K18" s="1">
        <v>99570</v>
      </c>
      <c r="L18" s="1">
        <v>46967</v>
      </c>
      <c r="M18" s="1">
        <v>0</v>
      </c>
      <c r="N18" s="1">
        <v>146537</v>
      </c>
      <c r="O18" s="3">
        <v>0</v>
      </c>
      <c r="P18" s="3">
        <v>0</v>
      </c>
      <c r="Q18" s="3">
        <v>0.84</v>
      </c>
      <c r="R18" s="3">
        <v>0</v>
      </c>
      <c r="S18" s="3">
        <v>0.16</v>
      </c>
      <c r="T18" s="1">
        <v>187868</v>
      </c>
      <c r="U18" s="1">
        <v>178853</v>
      </c>
      <c r="V18" s="10">
        <f>Table1[[#This Row],[Pop NW+RATAA]]*Table1[[#This Row],[Perc_pop_Northern_Aleppo]]</f>
        <v>178853</v>
      </c>
      <c r="W18" s="10">
        <f>Table1[[#This Row],[Pop NW+RATAA]]*Table1[[#This Row],[Perc_pop_Afrin District]]</f>
        <v>178853</v>
      </c>
      <c r="X18" s="10">
        <f>Table1[[#This Row],[Pop NW+RATAA]]*Table1[[#This Row],[Perc_pop_Euphrates Shiled]]</f>
        <v>0</v>
      </c>
      <c r="Y18" s="10">
        <f>Table1[[#This Row],[Pop NW+RATAA]]*Table1[[#This Row],[Perc_Pop_Idleb_NSAG]]</f>
        <v>0</v>
      </c>
      <c r="Z18" s="3">
        <v>1</v>
      </c>
      <c r="AA18" s="3">
        <v>1</v>
      </c>
      <c r="AB18" s="3">
        <v>0</v>
      </c>
      <c r="AC18" s="3">
        <v>0</v>
      </c>
      <c r="AD18" s="1">
        <v>0</v>
      </c>
      <c r="AE18" s="1">
        <v>0</v>
      </c>
      <c r="AF18" s="1">
        <v>123091.08</v>
      </c>
      <c r="AG18" s="1">
        <v>0</v>
      </c>
      <c r="AH18" s="1">
        <v>23445.920000000002</v>
      </c>
      <c r="AI18" s="1">
        <f>Table1[[#This Row],[NWS_pin]]*Table1[[#This Row],[Perc_pop_Northern_Aleppo]]</f>
        <v>123091.08</v>
      </c>
      <c r="AJ18" s="1">
        <f>Table1[[#This Row],[NWS_pin]]*Table1[[#This Row],[Perc_pop_Afrin District]]</f>
        <v>123091.08</v>
      </c>
      <c r="AK18" s="1">
        <f>Table1[[#This Row],[NWS_pin]]*Table1[[#This Row],[Perc_pop_Euphrates Shiled]]</f>
        <v>0</v>
      </c>
      <c r="AL18" s="1">
        <f>Table1[[#This Row],[NWS_pin]]*Table1[[#This Row],[Perc_Pop_Idleb_NSAG]]</f>
        <v>0</v>
      </c>
      <c r="AM18" s="4">
        <v>0.51635539782161499</v>
      </c>
      <c r="AN18" s="4">
        <v>0.48364460217838501</v>
      </c>
      <c r="AO18" s="4">
        <v>6.1804003680086303E-2</v>
      </c>
      <c r="AP18" s="4">
        <v>0.31322037218610299</v>
      </c>
      <c r="AQ18" s="4">
        <v>0.66248092367391997</v>
      </c>
      <c r="AR18" s="4">
        <v>1.1545773696384201E-3</v>
      </c>
      <c r="AS18" s="4">
        <v>0</v>
      </c>
      <c r="AT18" s="4">
        <v>2.3144126770338402E-2</v>
      </c>
      <c r="AU18" s="4">
        <v>0.106877582322277</v>
      </c>
      <c r="AV18" s="4">
        <v>0.14310373428031101</v>
      </c>
      <c r="AW18" s="4">
        <v>6.82013125539703E-2</v>
      </c>
      <c r="AX18" s="4">
        <v>0.13359490604814001</v>
      </c>
      <c r="AY18" s="4">
        <v>0.14451040441870999</v>
      </c>
      <c r="AZ18" s="4">
        <v>0.121941149388457</v>
      </c>
      <c r="BA18" s="4">
        <v>9.6946857807309397E-2</v>
      </c>
      <c r="BB18" s="4">
        <v>8.8976211319331602E-2</v>
      </c>
      <c r="BC18" s="4">
        <v>0.105456590614535</v>
      </c>
      <c r="BD18" s="4">
        <v>6.1392335559377502E-2</v>
      </c>
      <c r="BE18" s="4">
        <v>5.6542973271914099E-2</v>
      </c>
      <c r="BF18" s="4">
        <v>6.6569679381361796E-2</v>
      </c>
      <c r="BG18" s="4">
        <v>4.69854123137593E-2</v>
      </c>
      <c r="BH18" s="4">
        <v>2.7369838226633698E-2</v>
      </c>
      <c r="BI18" s="4">
        <v>6.7927665190431002E-2</v>
      </c>
      <c r="BJ18" s="4">
        <v>2.3380221002903299E-2</v>
      </c>
      <c r="BK18" s="4">
        <v>1.9269123697182401E-2</v>
      </c>
      <c r="BL18" s="4">
        <v>2.77693680650592E-2</v>
      </c>
      <c r="BM18" s="4">
        <v>3.06059439638433E-2</v>
      </c>
      <c r="BN18" s="4">
        <v>4.4334844684739402E-2</v>
      </c>
      <c r="BO18" s="4">
        <v>1.5948503435277001E-2</v>
      </c>
      <c r="BP18" s="4">
        <v>6.3965701100545003E-2</v>
      </c>
      <c r="BQ18" s="4">
        <v>9.3568431321839202E-2</v>
      </c>
      <c r="BR18" s="4">
        <v>3.2360821254528403E-2</v>
      </c>
      <c r="BS18" s="4">
        <v>0.153021080521202</v>
      </c>
      <c r="BT18" s="4">
        <v>0.162783560809659</v>
      </c>
      <c r="BU18" s="4">
        <v>0.142598325112856</v>
      </c>
      <c r="BV18" s="4">
        <v>0.103014635986639</v>
      </c>
      <c r="BW18" s="4">
        <v>6.9797070202790606E-2</v>
      </c>
      <c r="BX18" s="4">
        <v>0.13847883700889799</v>
      </c>
      <c r="BY18" s="4">
        <v>8.6270673910690696E-2</v>
      </c>
      <c r="BZ18" s="4">
        <v>6.2995710823893797E-2</v>
      </c>
      <c r="CA18" s="4">
        <v>0.111119814725734</v>
      </c>
      <c r="CB18" s="4">
        <v>2.12090948700253E-2</v>
      </c>
      <c r="CC18" s="4">
        <v>1.3516352452764601E-2</v>
      </c>
      <c r="CD18" s="4">
        <v>2.9422127856050001E-2</v>
      </c>
      <c r="CE18" s="4">
        <v>2.89169553926702E-2</v>
      </c>
      <c r="CF18" s="4">
        <v>2.5849874191378699E-2</v>
      </c>
      <c r="CG18" s="4">
        <v>3.2191475415660101E-2</v>
      </c>
      <c r="CH18" s="4">
        <v>1.72961318953146E-2</v>
      </c>
      <c r="CI18" s="4">
        <v>2.50276166932361E-2</v>
      </c>
      <c r="CJ18" s="4">
        <v>9.0417362283284307E-3</v>
      </c>
      <c r="CK18" s="4">
        <v>1.71345396767737E-2</v>
      </c>
      <c r="CL18" s="4">
        <v>1.7064558507634699E-2</v>
      </c>
      <c r="CM18" s="4">
        <v>1.7209253948923101E-2</v>
      </c>
      <c r="CN18" s="4">
        <v>3.4863426541184199E-3</v>
      </c>
      <c r="CO18" s="4">
        <v>5.28969509798088E-3</v>
      </c>
      <c r="CP18" s="4">
        <v>1.5610223582460099E-3</v>
      </c>
      <c r="CQ18" s="4">
        <v>5.9015849744107297E-3</v>
      </c>
      <c r="CR18" s="4">
        <v>0</v>
      </c>
      <c r="CS18" s="4">
        <v>1.22023174616844E-2</v>
      </c>
      <c r="CT18" s="1">
        <f>Table1[[#This Row],[Female %]]*Table1[[#This Row],[NWS_pin]]</f>
        <v>63558.743581692237</v>
      </c>
      <c r="CU18" s="1">
        <f>Table1[[#This Row],[Male %]]*Table1[[#This Row],[NWS_pin]]</f>
        <v>59532.336418307765</v>
      </c>
      <c r="CV18" s="1">
        <f>Table1[[#This Row],[Female% (0-2)22]]+Table1[[#This Row],[Male%(0-2)3]]</f>
        <v>13155.677035838025</v>
      </c>
      <c r="CW18" s="1">
        <f>$CT18*Table1[[#This Row],[Female% (0-2)]]</f>
        <v>9095.4935527049092</v>
      </c>
      <c r="CX18" s="1">
        <f>$CU18*Table1[[#This Row],[Male%(0-2)]]</f>
        <v>4060.1834831331166</v>
      </c>
      <c r="CY18" s="1">
        <f>Table1[[#This Row],[Female%  (3-5)5]]+Table1[[#This Row],[Male% (3-5)6]]</f>
        <v>25047.383279764534</v>
      </c>
      <c r="CZ18" s="1">
        <f>$AF18*Table1[[#This Row],[Female%  (3-5)]]</f>
        <v>17787.941751135786</v>
      </c>
      <c r="DA18" s="1">
        <f>$CU18*Table1[[#This Row],[Male% (3-5)]]</f>
        <v>7259.4415286287467</v>
      </c>
      <c r="DB18" s="1">
        <f>Table1[[#This Row],[Female% (6-8)8]]+Table1[[#This Row],[Male%(6-8)9]]</f>
        <v>11933.293430108115</v>
      </c>
      <c r="DC18" s="1">
        <f>$CT18*Table1[[#This Row],[Female% (6-8)]]</f>
        <v>5655.2162001158595</v>
      </c>
      <c r="DD18" s="1">
        <f>$CU18*Table1[[#This Row],[Male%(6-8)]]</f>
        <v>6278.0772299922546</v>
      </c>
      <c r="DE18" s="1">
        <f>Table1[[#This Row],[Female% (9 - 11)11]]+Table1[[#This Row],[Male% (9 - 11)12]]</f>
        <v>7556.8488877261825</v>
      </c>
      <c r="DF18" s="1">
        <f>$CT18*Table1[[#This Row],[Female% (9 - 11)]]</f>
        <v>3593.8003395360661</v>
      </c>
      <c r="DG18" s="1">
        <f>$CU18*Table1[[#This Row],[Male% (9 - 11)]]</f>
        <v>3963.0485481901164</v>
      </c>
      <c r="DH18" s="1">
        <f>Table1[[#This Row],[Female% (12-14)14]]+Table1[[#This Row],[Male%(12-14)15]]</f>
        <v>5783.4851459459214</v>
      </c>
      <c r="DI18" s="1">
        <f>$CT18*Table1[[#This Row],[Female% (12-14)]]</f>
        <v>1739.5925297190095</v>
      </c>
      <c r="DJ18" s="1">
        <f>$CU18*Table1[[#This Row],[Male%(12-14)]]</f>
        <v>4043.8926162269122</v>
      </c>
      <c r="DK18" s="1">
        <f>Table1[[#This Row],[Female% (15-17)17]]+Table1[[#This Row],[Male%(15-17)18]]</f>
        <v>2877.8966538860423</v>
      </c>
      <c r="DL18" s="1">
        <f>$CT18*Table1[[#This Row],[Female% (15-17)]]</f>
        <v>1224.7212921131256</v>
      </c>
      <c r="DM18" s="1">
        <f>$CU18*Table1[[#This Row],[Male%(15-17)]]</f>
        <v>1653.1753617729164</v>
      </c>
      <c r="DN18" s="1">
        <f>$AF18*Table1[[#This Row],[Total% (18-19)]]</f>
        <v>3767.3186969289527</v>
      </c>
      <c r="DO18" s="1">
        <f>$CT18*Table1[[#This Row],[Female% (18-19)]]</f>
        <v>2817.8670250515029</v>
      </c>
      <c r="DP18" s="1">
        <f>$CU18*Table1[[#This Row],[Male%(18-19)]]</f>
        <v>949.45167187744755</v>
      </c>
      <c r="DQ18" s="1">
        <f>$AF18*Table1[[#This Row],[Total% (20-24)]]</f>
        <v>7873.6072314232733</v>
      </c>
      <c r="DR18" s="1">
        <f>$CT18*Table1[[#This Row],[Female% (20-24)]]</f>
        <v>5947.0919337259584</v>
      </c>
      <c r="DS18" s="1">
        <f>$CU18*Table1[[#This Row],[Male% (20-24)]]</f>
        <v>1926.5152976973093</v>
      </c>
      <c r="DT18" s="1">
        <f>$AF18*Table1[[#This Row],[Total% (25-29)]]</f>
        <v>18835.530064121718</v>
      </c>
      <c r="DU18" s="1">
        <f>$CT18*Table1[[#This Row],[Female% (25-29)]]</f>
        <v>10346.318600815923</v>
      </c>
      <c r="DV18" s="1">
        <f>$CU18*Table1[[#This Row],[Male% (25-29)]]</f>
        <v>8489.2114633057681</v>
      </c>
      <c r="DW18" s="1">
        <f>$AF18*Table1[[#This Row],[Total%   (30-34)]]</f>
        <v>12680.182799402261</v>
      </c>
      <c r="DX18" s="1">
        <f>$CT18*Table1[[#This Row],[Female%   (30-34)]]</f>
        <v>4436.2140877725396</v>
      </c>
      <c r="DY18" s="1">
        <f>$CU18*Table1[[#This Row],[Male%  (30-34)]]</f>
        <v>8243.9687116297227</v>
      </c>
      <c r="DZ18" s="1">
        <f>$AF18*Table1[[#This Row],[Total% (35-39)]]</f>
        <v>10619.150423994741</v>
      </c>
      <c r="EA18" s="1">
        <f>$CT18*Table1[[#This Row],[Female% (35-39)]]</f>
        <v>4003.9282310023</v>
      </c>
      <c r="EB18" s="1">
        <f>$CU18*Table1[[#This Row],[Male% (35-39)]]</f>
        <v>6615.2221929924253</v>
      </c>
      <c r="EC18" s="1">
        <f>$AF18*Table1[[#This Row],[Total% (40-44)]]</f>
        <v>2610.6503933738736</v>
      </c>
      <c r="ED18" s="1">
        <f>$CT18*Table1[[#This Row],[Female% (40-44)]]</f>
        <v>859.08237970504217</v>
      </c>
      <c r="EE18" s="1">
        <f>$CU18*Table1[[#This Row],[Male%(55-59)]]</f>
        <v>1751.5680136688329</v>
      </c>
      <c r="EF18" s="1">
        <f>$AF18*Table1[[#This Row],[Total% (45-49)]]</f>
        <v>3559.419269595599</v>
      </c>
      <c r="EG18" s="1">
        <f>$CT18*Table1[[#This Row],[Female% (45-49)]]</f>
        <v>1642.9855253488427</v>
      </c>
      <c r="EH18" s="1">
        <f>$CU18*Table1[[#This Row],[Male% (45-49)]]</f>
        <v>1916.4337442467609</v>
      </c>
      <c r="EI18" s="1">
        <f>$AF18*Table1[[#This Row],[Total% (50-54)]]</f>
        <v>2128.9995548167212</v>
      </c>
      <c r="EJ18" s="1">
        <f>$CT18*Table1[[#This Row],[Female%(50-54)]]</f>
        <v>1590.7238718662734</v>
      </c>
      <c r="EK18" s="1">
        <f>$CU18*Table1[[#This Row],[Male% (50-54)]]</f>
        <v>538.27568295044932</v>
      </c>
      <c r="EL18" s="1">
        <f>$AF18*Table1[[#This Row],[Total% (55-59)]]</f>
        <v>2109.1089941169257</v>
      </c>
      <c r="EM18" s="1">
        <f>$CT18*Table1[[#This Row],[Female% (55-59)]]</f>
        <v>1084.6018985215385</v>
      </c>
      <c r="EN18" s="1">
        <f>$CU18*Table1[[#This Row],[Male% (55-59)]]</f>
        <v>1024.5070955953813</v>
      </c>
      <c r="EO18" s="1">
        <f>$AF18*Table1[[#This Row],[Total% (60-64)]]</f>
        <v>429.13768254550274</v>
      </c>
      <c r="EP18" s="1">
        <f>$CT18*Table1[[#This Row],[Female%(60-64)]]</f>
        <v>336.20637435790115</v>
      </c>
      <c r="EQ18" s="1">
        <f>$CU18*Table1[[#This Row],[Male%(60-64)]]</f>
        <v>92.931308187601601</v>
      </c>
      <c r="ER18" s="1">
        <f>$AF18*Table1[[#This Row],[Total% (&gt;=65)]]</f>
        <v>726.43246821198909</v>
      </c>
      <c r="ES18" s="1">
        <f>$CT18*Table1[[#This Row],[Female%(&gt;=65)]]</f>
        <v>0</v>
      </c>
      <c r="ET18" s="1">
        <f>$CU18*Table1[[#This Row],[Male% (&gt;=65)]]</f>
        <v>726.43246821198693</v>
      </c>
    </row>
    <row r="19" spans="1:150" x14ac:dyDescent="0.35">
      <c r="A19" t="s">
        <v>54</v>
      </c>
      <c r="B19" t="s">
        <v>55</v>
      </c>
      <c r="C19" t="s">
        <v>163</v>
      </c>
      <c r="D19" t="s">
        <v>164</v>
      </c>
      <c r="E19" t="s">
        <v>165</v>
      </c>
      <c r="F19" t="s">
        <v>166</v>
      </c>
      <c r="G19" t="s">
        <v>1143</v>
      </c>
      <c r="H19">
        <v>3</v>
      </c>
      <c r="I19" s="1">
        <v>0</v>
      </c>
      <c r="J19" s="1">
        <v>14087</v>
      </c>
      <c r="K19" s="1">
        <v>19181</v>
      </c>
      <c r="L19" s="1">
        <v>0</v>
      </c>
      <c r="M19" s="1">
        <v>0</v>
      </c>
      <c r="N19" s="1">
        <v>19181</v>
      </c>
      <c r="O19" s="3">
        <v>0</v>
      </c>
      <c r="P19" s="3">
        <v>0</v>
      </c>
      <c r="Q19" s="3">
        <v>1</v>
      </c>
      <c r="R19" s="3">
        <v>0</v>
      </c>
      <c r="S19" s="3">
        <v>0</v>
      </c>
      <c r="T19" s="1">
        <v>33268</v>
      </c>
      <c r="U19" s="1">
        <v>33268</v>
      </c>
      <c r="V19" s="10">
        <f>Table1[[#This Row],[Pop NW+RATAA]]*Table1[[#This Row],[Perc_pop_Northern_Aleppo]]</f>
        <v>33268</v>
      </c>
      <c r="W19" s="10">
        <f>Table1[[#This Row],[Pop NW+RATAA]]*Table1[[#This Row],[Perc_pop_Afrin District]]</f>
        <v>33268</v>
      </c>
      <c r="X19" s="10">
        <f>Table1[[#This Row],[Pop NW+RATAA]]*Table1[[#This Row],[Perc_pop_Euphrates Shiled]]</f>
        <v>0</v>
      </c>
      <c r="Y19" s="10">
        <f>Table1[[#This Row],[Pop NW+RATAA]]*Table1[[#This Row],[Perc_Pop_Idleb_NSAG]]</f>
        <v>0</v>
      </c>
      <c r="Z19" s="3">
        <v>1</v>
      </c>
      <c r="AA19" s="3">
        <v>1</v>
      </c>
      <c r="AB19" s="3">
        <v>0</v>
      </c>
      <c r="AC19" s="3">
        <v>0</v>
      </c>
      <c r="AD19" s="1">
        <v>0</v>
      </c>
      <c r="AE19" s="1">
        <v>0</v>
      </c>
      <c r="AF19" s="1">
        <v>19181</v>
      </c>
      <c r="AG19" s="1">
        <v>0</v>
      </c>
      <c r="AH19" s="1">
        <v>0</v>
      </c>
      <c r="AI19" s="1">
        <f>Table1[[#This Row],[NWS_pin]]*Table1[[#This Row],[Perc_pop_Northern_Aleppo]]</f>
        <v>19181</v>
      </c>
      <c r="AJ19" s="1">
        <f>Table1[[#This Row],[NWS_pin]]*Table1[[#This Row],[Perc_pop_Afrin District]]</f>
        <v>19181</v>
      </c>
      <c r="AK19" s="1">
        <f>Table1[[#This Row],[NWS_pin]]*Table1[[#This Row],[Perc_pop_Euphrates Shiled]]</f>
        <v>0</v>
      </c>
      <c r="AL19" s="1">
        <f>Table1[[#This Row],[NWS_pin]]*Table1[[#This Row],[Perc_Pop_Idleb_NSAG]]</f>
        <v>0</v>
      </c>
      <c r="AM19" s="4">
        <v>0.48040839173424199</v>
      </c>
      <c r="AN19" s="4">
        <v>0.51959160826575801</v>
      </c>
      <c r="AO19" s="4">
        <v>0.176983404826899</v>
      </c>
      <c r="AP19" s="4">
        <v>0.312356272480458</v>
      </c>
      <c r="AQ19" s="4">
        <v>0.63125547762309697</v>
      </c>
      <c r="AR19" s="4">
        <v>0</v>
      </c>
      <c r="AS19" s="4">
        <v>0</v>
      </c>
      <c r="AT19" s="4">
        <v>5.6388249896444802E-2</v>
      </c>
      <c r="AU19" s="4">
        <v>9.46651828248396E-2</v>
      </c>
      <c r="AV19" s="4">
        <v>6.6788011437773007E-2</v>
      </c>
      <c r="AW19" s="4">
        <v>0.120440093079569</v>
      </c>
      <c r="AX19" s="4">
        <v>0.12867343482035101</v>
      </c>
      <c r="AY19" s="4">
        <v>0.12072574383123499</v>
      </c>
      <c r="AZ19" s="4">
        <v>0.136021777990915</v>
      </c>
      <c r="BA19" s="4">
        <v>9.4626939933518298E-2</v>
      </c>
      <c r="BB19" s="4">
        <v>9.3813207096575701E-2</v>
      </c>
      <c r="BC19" s="4">
        <v>9.5379307903435503E-2</v>
      </c>
      <c r="BD19" s="4">
        <v>8.7614993330651494E-2</v>
      </c>
      <c r="BE19" s="4">
        <v>7.0473252870805497E-2</v>
      </c>
      <c r="BF19" s="4">
        <v>0.103464048309285</v>
      </c>
      <c r="BG19" s="4">
        <v>4.01963223306726E-2</v>
      </c>
      <c r="BH19" s="4">
        <v>1.68558684694665E-2</v>
      </c>
      <c r="BI19" s="4">
        <v>6.1776636029800297E-2</v>
      </c>
      <c r="BJ19" s="4">
        <v>2.8954235565624299E-2</v>
      </c>
      <c r="BK19" s="4">
        <v>4.9907627945693499E-2</v>
      </c>
      <c r="BL19" s="4">
        <v>9.5809713047108006E-3</v>
      </c>
      <c r="BM19" s="4">
        <v>1.94903770828481E-2</v>
      </c>
      <c r="BN19" s="4">
        <v>2.61423793950409E-2</v>
      </c>
      <c r="BO19" s="4">
        <v>1.33400126778509E-2</v>
      </c>
      <c r="BP19" s="4">
        <v>6.7735041604031307E-2</v>
      </c>
      <c r="BQ19" s="4">
        <v>9.4450046785130304E-2</v>
      </c>
      <c r="BR19" s="4">
        <v>4.3034656782459303E-2</v>
      </c>
      <c r="BS19" s="4">
        <v>0.103272082953992</v>
      </c>
      <c r="BT19" s="4">
        <v>0.12614907282256299</v>
      </c>
      <c r="BU19" s="4">
        <v>8.2120282702322897E-2</v>
      </c>
      <c r="BV19" s="4">
        <v>0.101954092651013</v>
      </c>
      <c r="BW19" s="4">
        <v>9.6134421653430793E-2</v>
      </c>
      <c r="BX19" s="4">
        <v>0.10733489314873999</v>
      </c>
      <c r="BY19" s="4">
        <v>6.15722459825115E-2</v>
      </c>
      <c r="BZ19" s="4">
        <v>5.9240414419571001E-2</v>
      </c>
      <c r="CA19" s="4">
        <v>6.3728230477115594E-2</v>
      </c>
      <c r="CB19" s="4">
        <v>3.9446020622049098E-2</v>
      </c>
      <c r="CC19" s="4">
        <v>2.8971247734770601E-2</v>
      </c>
      <c r="CD19" s="4">
        <v>4.9130874489021203E-2</v>
      </c>
      <c r="CE19" s="4">
        <v>1.7080677944570299E-2</v>
      </c>
      <c r="CF19" s="4">
        <v>1.9673718821504999E-2</v>
      </c>
      <c r="CG19" s="4">
        <v>1.4683182339229E-2</v>
      </c>
      <c r="CH19" s="4">
        <v>1.9125150854311799E-2</v>
      </c>
      <c r="CI19" s="4">
        <v>2.1929651801289501E-2</v>
      </c>
      <c r="CJ19" s="4">
        <v>1.6532141713822401E-2</v>
      </c>
      <c r="CK19" s="4">
        <v>1.8398932904236599E-2</v>
      </c>
      <c r="CL19" s="4">
        <v>2.5410234112956901E-2</v>
      </c>
      <c r="CM19" s="4">
        <v>1.1916364894934001E-2</v>
      </c>
      <c r="CN19" s="4">
        <v>3.0750725159323301E-2</v>
      </c>
      <c r="CO19" s="4">
        <v>3.34379399448054E-2</v>
      </c>
      <c r="CP19" s="4">
        <v>2.82661574472951E-2</v>
      </c>
      <c r="CQ19" s="4">
        <v>4.6443543435455502E-2</v>
      </c>
      <c r="CR19" s="4">
        <v>4.9897160857386699E-2</v>
      </c>
      <c r="CS19" s="4">
        <v>4.3250368709495099E-2</v>
      </c>
      <c r="CT19" s="1">
        <f>Table1[[#This Row],[Female %]]*Table1[[#This Row],[NWS_pin]]</f>
        <v>9214.7133618544958</v>
      </c>
      <c r="CU19" s="1">
        <f>Table1[[#This Row],[Male %]]*Table1[[#This Row],[NWS_pin]]</f>
        <v>9966.2866381455042</v>
      </c>
      <c r="CV19" s="1">
        <f>Table1[[#This Row],[Female% (0-2)22]]+Table1[[#This Row],[Male%(0-2)3]]</f>
        <v>1815.7728717632472</v>
      </c>
      <c r="CW19" s="1">
        <f>$CT19*Table1[[#This Row],[Female% (0-2)]]</f>
        <v>615.43238140733786</v>
      </c>
      <c r="CX19" s="1">
        <f>$CU19*Table1[[#This Row],[Male%(0-2)]]</f>
        <v>1200.3404903559094</v>
      </c>
      <c r="CY19" s="1">
        <f>Table1[[#This Row],[Female%  (3-5)5]]+Table1[[#This Row],[Male% (3-5)6]]</f>
        <v>3671.2725209145692</v>
      </c>
      <c r="CZ19" s="1">
        <f>$AF19*Table1[[#This Row],[Female%  (3-5)]]</f>
        <v>2315.6404924269186</v>
      </c>
      <c r="DA19" s="1">
        <f>$CU19*Table1[[#This Row],[Male% (3-5)]]</f>
        <v>1355.6320284876504</v>
      </c>
      <c r="DB19" s="1">
        <f>Table1[[#This Row],[Female% (6-8)8]]+Table1[[#This Row],[Male%(6-8)9]]</f>
        <v>1815.0393348648145</v>
      </c>
      <c r="DC19" s="1">
        <f>$CT19*Table1[[#This Row],[Female% (6-8)]]</f>
        <v>864.46181295123915</v>
      </c>
      <c r="DD19" s="1">
        <f>$CU19*Table1[[#This Row],[Male%(6-8)]]</f>
        <v>950.5775219135752</v>
      </c>
      <c r="DE19" s="1">
        <f>Table1[[#This Row],[Female% (9 - 11)11]]+Table1[[#This Row],[Male% (9 - 11)12]]</f>
        <v>1680.5431870752302</v>
      </c>
      <c r="DF19" s="1">
        <f>$CT19*Table1[[#This Row],[Female% (9 - 11)]]</f>
        <v>649.39082488196209</v>
      </c>
      <c r="DG19" s="1">
        <f>$CU19*Table1[[#This Row],[Male% (9 - 11)]]</f>
        <v>1031.1523621932681</v>
      </c>
      <c r="DH19" s="1">
        <f>Table1[[#This Row],[Female% (12-14)14]]+Table1[[#This Row],[Male%(12-14)15]]</f>
        <v>771.00565862463168</v>
      </c>
      <c r="DI19" s="1">
        <f>$CT19*Table1[[#This Row],[Female% (12-14)]]</f>
        <v>155.32199641125484</v>
      </c>
      <c r="DJ19" s="1">
        <f>$CU19*Table1[[#This Row],[Male%(12-14)]]</f>
        <v>615.68366221337681</v>
      </c>
      <c r="DK19" s="1">
        <f>Table1[[#This Row],[Female% (15-17)17]]+Table1[[#This Row],[Male%(15-17)18]]</f>
        <v>555.37119238423952</v>
      </c>
      <c r="DL19" s="1">
        <f>$CT19*Table1[[#This Row],[Female% (15-17)]]</f>
        <v>459.88448608964472</v>
      </c>
      <c r="DM19" s="1">
        <f>$CU19*Table1[[#This Row],[Male%(15-17)]]</f>
        <v>95.486706294594754</v>
      </c>
      <c r="DN19" s="1">
        <f>$AF19*Table1[[#This Row],[Total% (18-19)]]</f>
        <v>373.84492282610938</v>
      </c>
      <c r="DO19" s="1">
        <f>$CT19*Table1[[#This Row],[Female% (18-19)]]</f>
        <v>240.89453272215303</v>
      </c>
      <c r="DP19" s="1">
        <f>$CU19*Table1[[#This Row],[Male%(18-19)]]</f>
        <v>132.95039010395706</v>
      </c>
      <c r="DQ19" s="1">
        <f>$AF19*Table1[[#This Row],[Total% (20-24)]]</f>
        <v>1299.2258330069244</v>
      </c>
      <c r="DR19" s="1">
        <f>$CT19*Table1[[#This Row],[Female% (20-24)]]</f>
        <v>870.33010813872249</v>
      </c>
      <c r="DS19" s="1">
        <f>$CU19*Table1[[#This Row],[Male% (20-24)]]</f>
        <v>428.89572486820197</v>
      </c>
      <c r="DT19" s="1">
        <f>$AF19*Table1[[#This Row],[Total% (25-29)]]</f>
        <v>1980.8618231405205</v>
      </c>
      <c r="DU19" s="1">
        <f>$CT19*Table1[[#This Row],[Female% (25-29)]]</f>
        <v>1162.427546923627</v>
      </c>
      <c r="DV19" s="1">
        <f>$CU19*Table1[[#This Row],[Male% (25-29)]]</f>
        <v>818.43427621689204</v>
      </c>
      <c r="DW19" s="1">
        <f>$AF19*Table1[[#This Row],[Total%   (30-34)]]</f>
        <v>1955.5814511390804</v>
      </c>
      <c r="DX19" s="1">
        <f>$CT19*Table1[[#This Row],[Female%   (30-34)]]</f>
        <v>885.85113974402293</v>
      </c>
      <c r="DY19" s="1">
        <f>$CU19*Table1[[#This Row],[Male%  (30-34)]]</f>
        <v>1069.7303113950629</v>
      </c>
      <c r="DZ19" s="1">
        <f>$AF19*Table1[[#This Row],[Total% (35-39)]]</f>
        <v>1181.0172501905531</v>
      </c>
      <c r="EA19" s="1">
        <f>$CT19*Table1[[#This Row],[Female% (35-39)]]</f>
        <v>545.8834383138186</v>
      </c>
      <c r="EB19" s="1">
        <f>$CU19*Table1[[#This Row],[Male% (35-39)]]</f>
        <v>635.13381187673428</v>
      </c>
      <c r="EC19" s="1">
        <f>$AF19*Table1[[#This Row],[Total% (40-44)]]</f>
        <v>756.61412155152379</v>
      </c>
      <c r="ED19" s="1">
        <f>$CT19*Table1[[#This Row],[Female% (40-44)]]</f>
        <v>266.96174361118744</v>
      </c>
      <c r="EE19" s="1">
        <f>$CU19*Table1[[#This Row],[Male%(55-59)]]</f>
        <v>489.65237794033584</v>
      </c>
      <c r="EF19" s="1">
        <f>$AF19*Table1[[#This Row],[Total% (45-49)]]</f>
        <v>327.62448365480293</v>
      </c>
      <c r="EG19" s="1">
        <f>$CT19*Table1[[#This Row],[Female% (45-49)]]</f>
        <v>181.2876797018904</v>
      </c>
      <c r="EH19" s="1">
        <f>$CU19*Table1[[#This Row],[Male% (45-49)]]</f>
        <v>146.33680395291202</v>
      </c>
      <c r="EI19" s="1">
        <f>$AF19*Table1[[#This Row],[Total% (50-54)]]</f>
        <v>366.83951853655464</v>
      </c>
      <c r="EJ19" s="1">
        <f>$CT19*Table1[[#This Row],[Female%(50-54)]]</f>
        <v>202.07545547415887</v>
      </c>
      <c r="EK19" s="1">
        <f>$CU19*Table1[[#This Row],[Male% (50-54)]]</f>
        <v>164.7640630623961</v>
      </c>
      <c r="EL19" s="1">
        <f>$AF19*Table1[[#This Row],[Total% (55-59)]]</f>
        <v>352.90993203616222</v>
      </c>
      <c r="EM19" s="1">
        <f>$CT19*Table1[[#This Row],[Female% (55-59)]]</f>
        <v>234.14802380851486</v>
      </c>
      <c r="EN19" s="1">
        <f>$CU19*Table1[[#This Row],[Male% (55-59)]]</f>
        <v>118.76190822764688</v>
      </c>
      <c r="EO19" s="1">
        <f>$AF19*Table1[[#This Row],[Total% (60-64)]]</f>
        <v>589.8296592809802</v>
      </c>
      <c r="EP19" s="1">
        <f>$CT19*Table1[[#This Row],[Female%(60-64)]]</f>
        <v>308.12103200228648</v>
      </c>
      <c r="EQ19" s="1">
        <f>$CU19*Table1[[#This Row],[Male%(60-64)]]</f>
        <v>281.70862727869417</v>
      </c>
      <c r="ER19" s="1">
        <f>$AF19*Table1[[#This Row],[Total% (&gt;=65)]]</f>
        <v>890.83360663547194</v>
      </c>
      <c r="ES19" s="1">
        <f>$CT19*Table1[[#This Row],[Female%(&gt;=65)]]</f>
        <v>459.78803487116437</v>
      </c>
      <c r="ET19" s="1">
        <f>$CU19*Table1[[#This Row],[Male% (&gt;=65)]]</f>
        <v>431.0455717643074</v>
      </c>
    </row>
    <row r="20" spans="1:150" x14ac:dyDescent="0.35">
      <c r="A20" t="s">
        <v>54</v>
      </c>
      <c r="B20" t="s">
        <v>55</v>
      </c>
      <c r="C20" t="s">
        <v>163</v>
      </c>
      <c r="D20" t="s">
        <v>164</v>
      </c>
      <c r="E20" t="s">
        <v>386</v>
      </c>
      <c r="F20" t="s">
        <v>387</v>
      </c>
      <c r="G20" t="s">
        <v>1143</v>
      </c>
      <c r="H20">
        <v>3</v>
      </c>
      <c r="I20" s="1">
        <v>0</v>
      </c>
      <c r="J20" s="1">
        <v>12560</v>
      </c>
      <c r="K20" s="1">
        <v>79479</v>
      </c>
      <c r="L20" s="1">
        <v>11725</v>
      </c>
      <c r="M20" s="1">
        <v>0</v>
      </c>
      <c r="N20" s="1">
        <v>91204</v>
      </c>
      <c r="O20" s="3">
        <v>0</v>
      </c>
      <c r="P20" s="3">
        <v>0</v>
      </c>
      <c r="Q20" s="3">
        <v>1</v>
      </c>
      <c r="R20" s="3">
        <v>0</v>
      </c>
      <c r="S20" s="3">
        <v>0</v>
      </c>
      <c r="T20" s="1">
        <v>103764</v>
      </c>
      <c r="U20" s="1">
        <v>103763</v>
      </c>
      <c r="V20" s="10">
        <f>Table1[[#This Row],[Pop NW+RATAA]]*Table1[[#This Row],[Perc_pop_Northern_Aleppo]]</f>
        <v>103763</v>
      </c>
      <c r="W20" s="10">
        <f>Table1[[#This Row],[Pop NW+RATAA]]*Table1[[#This Row],[Perc_pop_Afrin District]]</f>
        <v>103763</v>
      </c>
      <c r="X20" s="10">
        <f>Table1[[#This Row],[Pop NW+RATAA]]*Table1[[#This Row],[Perc_pop_Euphrates Shiled]]</f>
        <v>0</v>
      </c>
      <c r="Y20" s="10">
        <f>Table1[[#This Row],[Pop NW+RATAA]]*Table1[[#This Row],[Perc_Pop_Idleb_NSAG]]</f>
        <v>0</v>
      </c>
      <c r="Z20" s="3">
        <v>1</v>
      </c>
      <c r="AA20" s="3">
        <v>1</v>
      </c>
      <c r="AB20" s="3">
        <v>0</v>
      </c>
      <c r="AC20" s="3">
        <v>0</v>
      </c>
      <c r="AD20" s="1">
        <v>0</v>
      </c>
      <c r="AE20" s="1">
        <v>0</v>
      </c>
      <c r="AF20" s="1">
        <v>91204</v>
      </c>
      <c r="AG20" s="1">
        <v>0</v>
      </c>
      <c r="AH20" s="1">
        <v>0</v>
      </c>
      <c r="AI20" s="1">
        <f>Table1[[#This Row],[NWS_pin]]*Table1[[#This Row],[Perc_pop_Northern_Aleppo]]</f>
        <v>91204</v>
      </c>
      <c r="AJ20" s="1">
        <f>Table1[[#This Row],[NWS_pin]]*Table1[[#This Row],[Perc_pop_Afrin District]]</f>
        <v>91204</v>
      </c>
      <c r="AK20" s="1">
        <f>Table1[[#This Row],[NWS_pin]]*Table1[[#This Row],[Perc_pop_Euphrates Shiled]]</f>
        <v>0</v>
      </c>
      <c r="AL20" s="1">
        <f>Table1[[#This Row],[NWS_pin]]*Table1[[#This Row],[Perc_Pop_Idleb_NSAG]]</f>
        <v>0</v>
      </c>
      <c r="AM20" s="4">
        <v>0.48599654273924198</v>
      </c>
      <c r="AN20" s="4">
        <v>0.51400345726075802</v>
      </c>
      <c r="AO20" s="4">
        <v>0.104665137283459</v>
      </c>
      <c r="AP20" s="4">
        <v>0.386763499695707</v>
      </c>
      <c r="AQ20" s="4">
        <v>0.54953080439970603</v>
      </c>
      <c r="AR20" s="4">
        <v>1.2457904137250401E-2</v>
      </c>
      <c r="AS20" s="4">
        <v>0</v>
      </c>
      <c r="AT20" s="4">
        <v>5.1247791767336202E-2</v>
      </c>
      <c r="AU20" s="4">
        <v>8.8332797983806804E-2</v>
      </c>
      <c r="AV20" s="4">
        <v>9.9639291006563796E-2</v>
      </c>
      <c r="AW20" s="4">
        <v>7.7642370824330398E-2</v>
      </c>
      <c r="AX20" s="4">
        <v>0.11594056497850599</v>
      </c>
      <c r="AY20" s="4">
        <v>0.149883467939119</v>
      </c>
      <c r="AZ20" s="4">
        <v>8.3847135923955901E-2</v>
      </c>
      <c r="BA20" s="4">
        <v>0.104738328844342</v>
      </c>
      <c r="BB20" s="4">
        <v>6.8502142313781905E-2</v>
      </c>
      <c r="BC20" s="4">
        <v>0.13900008550597601</v>
      </c>
      <c r="BD20" s="4">
        <v>9.8844754816853106E-2</v>
      </c>
      <c r="BE20" s="4">
        <v>5.1689685689748799E-2</v>
      </c>
      <c r="BF20" s="4">
        <v>0.143430448248827</v>
      </c>
      <c r="BG20" s="4">
        <v>5.1588840465714998E-2</v>
      </c>
      <c r="BH20" s="4">
        <v>3.6552649098175599E-2</v>
      </c>
      <c r="BI20" s="4">
        <v>6.5805742934685302E-2</v>
      </c>
      <c r="BJ20" s="4">
        <v>4.19504050685304E-2</v>
      </c>
      <c r="BK20" s="4">
        <v>3.7948075602404499E-2</v>
      </c>
      <c r="BL20" s="4">
        <v>4.5734656430975601E-2</v>
      </c>
      <c r="BM20" s="4">
        <v>2.1015527154075599E-2</v>
      </c>
      <c r="BN20" s="4">
        <v>1.6880573677935499E-2</v>
      </c>
      <c r="BO20" s="4">
        <v>2.4925176136790898E-2</v>
      </c>
      <c r="BP20" s="4">
        <v>6.7830487531274394E-2</v>
      </c>
      <c r="BQ20" s="4">
        <v>8.9067653987682599E-2</v>
      </c>
      <c r="BR20" s="4">
        <v>4.7750487427002497E-2</v>
      </c>
      <c r="BS20" s="4">
        <v>7.1073293196621798E-2</v>
      </c>
      <c r="BT20" s="4">
        <v>8.8878093957679996E-2</v>
      </c>
      <c r="BU20" s="4">
        <v>5.4238636752578701E-2</v>
      </c>
      <c r="BV20" s="4">
        <v>8.6665710730409698E-2</v>
      </c>
      <c r="BW20" s="4">
        <v>0.118173357512941</v>
      </c>
      <c r="BX20" s="4">
        <v>5.6874846116844797E-2</v>
      </c>
      <c r="BY20" s="4">
        <v>8.1362849820017902E-2</v>
      </c>
      <c r="BZ20" s="4">
        <v>6.3250901318369898E-2</v>
      </c>
      <c r="CA20" s="4">
        <v>9.8487918201817903E-2</v>
      </c>
      <c r="CB20" s="4">
        <v>4.5411575328722899E-2</v>
      </c>
      <c r="CC20" s="4">
        <v>3.5743029257507199E-2</v>
      </c>
      <c r="CD20" s="4">
        <v>5.4553303652822703E-2</v>
      </c>
      <c r="CE20" s="4">
        <v>2.9776279387630802E-2</v>
      </c>
      <c r="CF20" s="4">
        <v>3.20614646775449E-2</v>
      </c>
      <c r="CG20" s="4">
        <v>2.7615608803165399E-2</v>
      </c>
      <c r="CH20" s="4">
        <v>1.8762329906718E-2</v>
      </c>
      <c r="CI20" s="4">
        <v>1.35004108431451E-2</v>
      </c>
      <c r="CJ20" s="4">
        <v>2.37375386080339E-2</v>
      </c>
      <c r="CK20" s="4">
        <v>1.5638070426270599E-2</v>
      </c>
      <c r="CL20" s="4">
        <v>1.36825753072955E-2</v>
      </c>
      <c r="CM20" s="4">
        <v>1.74870149299323E-2</v>
      </c>
      <c r="CN20" s="4">
        <v>2.31047144934944E-2</v>
      </c>
      <c r="CO20" s="4">
        <v>3.7047892516738297E-2</v>
      </c>
      <c r="CP20" s="4">
        <v>9.9212694828188803E-3</v>
      </c>
      <c r="CQ20" s="4">
        <v>3.7963469867010102E-2</v>
      </c>
      <c r="CR20" s="4">
        <v>4.7498735293365901E-2</v>
      </c>
      <c r="CS20" s="4">
        <v>2.8947760019441899E-2</v>
      </c>
      <c r="CT20" s="1">
        <f>Table1[[#This Row],[Female %]]*Table1[[#This Row],[NWS_pin]]</f>
        <v>44324.828683989828</v>
      </c>
      <c r="CU20" s="1">
        <f>Table1[[#This Row],[Male %]]*Table1[[#This Row],[NWS_pin]]</f>
        <v>46879.171316010172</v>
      </c>
      <c r="CV20" s="1">
        <f>Table1[[#This Row],[Female% (0-2)22]]+Table1[[#This Row],[Male%(0-2)3]]</f>
        <v>8056.3045073151234</v>
      </c>
      <c r="CW20" s="1">
        <f>$CT20*Table1[[#This Row],[Female% (0-2)]]</f>
        <v>4416.4945040601488</v>
      </c>
      <c r="CX20" s="1">
        <f>$CU20*Table1[[#This Row],[Male%(0-2)]]</f>
        <v>3639.8100032549746</v>
      </c>
      <c r="CY20" s="1">
        <f>Table1[[#This Row],[Female%  (3-5)5]]+Table1[[#This Row],[Male% (3-5)6]]</f>
        <v>17600.656059255329</v>
      </c>
      <c r="CZ20" s="1">
        <f>$AF20*Table1[[#This Row],[Female%  (3-5)]]</f>
        <v>13669.971809919409</v>
      </c>
      <c r="DA20" s="1">
        <f>$CU20*Table1[[#This Row],[Male% (3-5)]]</f>
        <v>3930.6842493359195</v>
      </c>
      <c r="DB20" s="1">
        <f>Table1[[#This Row],[Female% (6-8)8]]+Table1[[#This Row],[Male%(6-8)9]]</f>
        <v>9552.5545439193847</v>
      </c>
      <c r="DC20" s="1">
        <f>$CT20*Table1[[#This Row],[Female% (6-8)]]</f>
        <v>3036.3457225446737</v>
      </c>
      <c r="DD20" s="1">
        <f>$CU20*Table1[[#This Row],[Male%(6-8)]]</f>
        <v>6516.208821374712</v>
      </c>
      <c r="DE20" s="1">
        <f>Table1[[#This Row],[Female% (9 - 11)11]]+Table1[[#This Row],[Male% (9 - 11)12]]</f>
        <v>9015.0370183162886</v>
      </c>
      <c r="DF20" s="1">
        <f>$CT20*Table1[[#This Row],[Female% (9 - 11)]]</f>
        <v>2291.1364629273962</v>
      </c>
      <c r="DG20" s="1">
        <f>$CU20*Table1[[#This Row],[Male% (9 - 11)]]</f>
        <v>6723.9005553888919</v>
      </c>
      <c r="DH20" s="1">
        <f>Table1[[#This Row],[Female% (12-14)14]]+Table1[[#This Row],[Male%(12-14)15]]</f>
        <v>4705.1086058350666</v>
      </c>
      <c r="DI20" s="1">
        <f>$CT20*Table1[[#This Row],[Female% (12-14)]]</f>
        <v>1620.1899092226288</v>
      </c>
      <c r="DJ20" s="1">
        <f>$CU20*Table1[[#This Row],[Male%(12-14)]]</f>
        <v>3084.918696612438</v>
      </c>
      <c r="DK20" s="1">
        <f>Table1[[#This Row],[Female% (15-17)17]]+Table1[[#This Row],[Male%(15-17)18]]</f>
        <v>3826.0447438702449</v>
      </c>
      <c r="DL20" s="1">
        <f>$CT20*Table1[[#This Row],[Female% (15-17)]]</f>
        <v>1682.0419499636735</v>
      </c>
      <c r="DM20" s="1">
        <f>$CU20*Table1[[#This Row],[Male%(15-17)]]</f>
        <v>2144.0027939065717</v>
      </c>
      <c r="DN20" s="1">
        <f>$AF20*Table1[[#This Row],[Total% (18-19)]]</f>
        <v>1916.700138560311</v>
      </c>
      <c r="DO20" s="1">
        <f>$CT20*Table1[[#This Row],[Female% (18-19)]]</f>
        <v>748.22853636195907</v>
      </c>
      <c r="DP20" s="1">
        <f>$CU20*Table1[[#This Row],[Male%(18-19)]]</f>
        <v>1168.471602198349</v>
      </c>
      <c r="DQ20" s="1">
        <f>$AF20*Table1[[#This Row],[Total% (20-24)]]</f>
        <v>6186.4117848023498</v>
      </c>
      <c r="DR20" s="1">
        <f>$CT20*Table1[[#This Row],[Female% (20-24)]]</f>
        <v>3947.9085042889146</v>
      </c>
      <c r="DS20" s="1">
        <f>$CU20*Table1[[#This Row],[Male% (20-24)]]</f>
        <v>2238.5032805134397</v>
      </c>
      <c r="DT20" s="1">
        <f>$AF20*Table1[[#This Row],[Total% (25-29)]]</f>
        <v>6482.1686327046946</v>
      </c>
      <c r="DU20" s="1">
        <f>$CT20*Table1[[#This Row],[Female% (25-29)]]</f>
        <v>3939.5062884337171</v>
      </c>
      <c r="DV20" s="1">
        <f>$CU20*Table1[[#This Row],[Male% (25-29)]]</f>
        <v>2542.6623442709824</v>
      </c>
      <c r="DW20" s="1">
        <f>$AF20*Table1[[#This Row],[Total%   (30-34)]]</f>
        <v>7904.2594814562863</v>
      </c>
      <c r="DX20" s="1">
        <f>$CT20*Table1[[#This Row],[Female%   (30-34)]]</f>
        <v>5238.0138267729926</v>
      </c>
      <c r="DY20" s="1">
        <f>$CU20*Table1[[#This Row],[Male%  (30-34)]]</f>
        <v>2666.2456546832832</v>
      </c>
      <c r="DZ20" s="1">
        <f>$AF20*Table1[[#This Row],[Total% (35-39)]]</f>
        <v>7420.6173549849127</v>
      </c>
      <c r="EA20" s="1">
        <f>$CT20*Table1[[#This Row],[Female% (35-39)]]</f>
        <v>2803.585365044692</v>
      </c>
      <c r="EB20" s="1">
        <f>$CU20*Table1[[#This Row],[Male% (35-39)]]</f>
        <v>4617.0319899402175</v>
      </c>
      <c r="EC20" s="1">
        <f>$AF20*Table1[[#This Row],[Total% (40-44)]]</f>
        <v>4141.7173162808431</v>
      </c>
      <c r="ED20" s="1">
        <f>$CT20*Table1[[#This Row],[Female% (40-44)]]</f>
        <v>1584.3036484858428</v>
      </c>
      <c r="EE20" s="1">
        <f>$CU20*Table1[[#This Row],[Male%(55-59)]]</f>
        <v>2557.4136677949991</v>
      </c>
      <c r="EF20" s="1">
        <f>$AF20*Table1[[#This Row],[Total% (45-49)]]</f>
        <v>2715.7157852694795</v>
      </c>
      <c r="EG20" s="1">
        <f>$CT20*Table1[[#This Row],[Female% (45-49)]]</f>
        <v>1421.1189291899689</v>
      </c>
      <c r="EH20" s="1">
        <f>$CU20*Table1[[#This Row],[Male% (45-49)]]</f>
        <v>1294.5968560795093</v>
      </c>
      <c r="EI20" s="1">
        <f>$AF20*Table1[[#This Row],[Total% (50-54)]]</f>
        <v>1711.1995368123085</v>
      </c>
      <c r="EJ20" s="1">
        <f>$CT20*Table1[[#This Row],[Female%(50-54)]]</f>
        <v>598.4033977858852</v>
      </c>
      <c r="EK20" s="1">
        <f>$CU20*Table1[[#This Row],[Male% (50-54)]]</f>
        <v>1112.7961390264268</v>
      </c>
      <c r="EL20" s="1">
        <f>$AF20*Table1[[#This Row],[Total% (55-59)]]</f>
        <v>1426.2545751575838</v>
      </c>
      <c r="EM20" s="1">
        <f>$CT20*Table1[[#This Row],[Female% (55-59)]]</f>
        <v>606.47780645166256</v>
      </c>
      <c r="EN20" s="1">
        <f>$CU20*Table1[[#This Row],[Male% (55-59)]]</f>
        <v>819.77676870592393</v>
      </c>
      <c r="EO20" s="1">
        <f>$AF20*Table1[[#This Row],[Total% (60-64)]]</f>
        <v>2107.2423806646634</v>
      </c>
      <c r="EP20" s="1">
        <f>$CT20*Table1[[#This Row],[Female%(60-64)]]</f>
        <v>1642.1414889072937</v>
      </c>
      <c r="EQ20" s="1">
        <f>$CU20*Table1[[#This Row],[Male%(60-64)]]</f>
        <v>465.10089175736994</v>
      </c>
      <c r="ER20" s="1">
        <f>$AF20*Table1[[#This Row],[Total% (&gt;=65)]]</f>
        <v>3462.4203057507893</v>
      </c>
      <c r="ES20" s="1">
        <f>$CT20*Table1[[#This Row],[Female%(&gt;=65)]]</f>
        <v>2105.3733045846247</v>
      </c>
      <c r="ET20" s="1">
        <f>$CU20*Table1[[#This Row],[Male% (&gt;=65)]]</f>
        <v>1357.0470011661666</v>
      </c>
    </row>
    <row r="21" spans="1:150" x14ac:dyDescent="0.35">
      <c r="A21" t="s">
        <v>54</v>
      </c>
      <c r="B21" t="s">
        <v>55</v>
      </c>
      <c r="C21" t="s">
        <v>163</v>
      </c>
      <c r="D21" t="s">
        <v>164</v>
      </c>
      <c r="E21" t="s">
        <v>294</v>
      </c>
      <c r="F21" t="s">
        <v>295</v>
      </c>
      <c r="G21" t="s">
        <v>1143</v>
      </c>
      <c r="H21">
        <v>3</v>
      </c>
      <c r="I21" s="1">
        <v>0</v>
      </c>
      <c r="J21" s="1">
        <v>0</v>
      </c>
      <c r="K21" s="1">
        <v>35877</v>
      </c>
      <c r="L21" s="1">
        <v>11872</v>
      </c>
      <c r="M21" s="1">
        <v>0</v>
      </c>
      <c r="N21" s="1">
        <v>47749</v>
      </c>
      <c r="O21" s="3">
        <v>0</v>
      </c>
      <c r="P21" s="3">
        <v>0</v>
      </c>
      <c r="Q21" s="3">
        <v>1</v>
      </c>
      <c r="R21" s="3">
        <v>0</v>
      </c>
      <c r="S21" s="3">
        <v>0</v>
      </c>
      <c r="T21" s="1">
        <v>47749</v>
      </c>
      <c r="U21" s="1">
        <v>47748.5</v>
      </c>
      <c r="V21" s="10">
        <f>Table1[[#This Row],[Pop NW+RATAA]]*Table1[[#This Row],[Perc_pop_Northern_Aleppo]]</f>
        <v>47748.5</v>
      </c>
      <c r="W21" s="10">
        <f>Table1[[#This Row],[Pop NW+RATAA]]*Table1[[#This Row],[Perc_pop_Afrin District]]</f>
        <v>47748.5</v>
      </c>
      <c r="X21" s="10">
        <f>Table1[[#This Row],[Pop NW+RATAA]]*Table1[[#This Row],[Perc_pop_Euphrates Shiled]]</f>
        <v>0</v>
      </c>
      <c r="Y21" s="10">
        <f>Table1[[#This Row],[Pop NW+RATAA]]*Table1[[#This Row],[Perc_Pop_Idleb_NSAG]]</f>
        <v>0</v>
      </c>
      <c r="Z21" s="3">
        <v>1</v>
      </c>
      <c r="AA21" s="3">
        <v>1</v>
      </c>
      <c r="AB21" s="3">
        <v>0</v>
      </c>
      <c r="AC21" s="3">
        <v>0</v>
      </c>
      <c r="AD21" s="1">
        <v>0</v>
      </c>
      <c r="AE21" s="1">
        <v>0</v>
      </c>
      <c r="AF21" s="1">
        <v>47749</v>
      </c>
      <c r="AG21" s="1">
        <v>0</v>
      </c>
      <c r="AH21" s="1">
        <v>0</v>
      </c>
      <c r="AI21" s="1">
        <f>Table1[[#This Row],[NWS_pin]]*Table1[[#This Row],[Perc_pop_Northern_Aleppo]]</f>
        <v>47749</v>
      </c>
      <c r="AJ21" s="1">
        <f>Table1[[#This Row],[NWS_pin]]*Table1[[#This Row],[Perc_pop_Afrin District]]</f>
        <v>47749</v>
      </c>
      <c r="AK21" s="1">
        <f>Table1[[#This Row],[NWS_pin]]*Table1[[#This Row],[Perc_pop_Euphrates Shiled]]</f>
        <v>0</v>
      </c>
      <c r="AL21" s="1">
        <f>Table1[[#This Row],[NWS_pin]]*Table1[[#This Row],[Perc_Pop_Idleb_NSAG]]</f>
        <v>0</v>
      </c>
      <c r="AM21" s="4">
        <v>0.54352182510416602</v>
      </c>
      <c r="AN21" s="4">
        <v>0.45647817489583398</v>
      </c>
      <c r="AO21" s="4">
        <v>9.5822320853916398E-2</v>
      </c>
      <c r="AP21" s="4">
        <v>0.40326852328913199</v>
      </c>
      <c r="AQ21" s="4">
        <v>0.50645967988240603</v>
      </c>
      <c r="AR21" s="4">
        <v>7.8849865197094093E-3</v>
      </c>
      <c r="AS21" s="4">
        <v>6.3782647071517395E-4</v>
      </c>
      <c r="AT21" s="4">
        <v>8.1748983838037401E-2</v>
      </c>
      <c r="AU21" s="4">
        <v>8.7568412752835001E-2</v>
      </c>
      <c r="AV21" s="4">
        <v>8.7616022667924898E-2</v>
      </c>
      <c r="AW21" s="4">
        <v>8.7511724329672899E-2</v>
      </c>
      <c r="AX21" s="4">
        <v>0.15009928867403299</v>
      </c>
      <c r="AY21" s="4">
        <v>0.147535330496017</v>
      </c>
      <c r="AZ21" s="4">
        <v>0.15315215583186301</v>
      </c>
      <c r="BA21" s="4">
        <v>0.12121185924136001</v>
      </c>
      <c r="BB21" s="4">
        <v>9.0842069792743604E-2</v>
      </c>
      <c r="BC21" s="4">
        <v>0.15737271927132301</v>
      </c>
      <c r="BD21" s="4">
        <v>8.0065235256806103E-2</v>
      </c>
      <c r="BE21" s="4">
        <v>8.4631674915983196E-2</v>
      </c>
      <c r="BF21" s="4">
        <v>7.4628042956538201E-2</v>
      </c>
      <c r="BG21" s="4">
        <v>7.1968224059346594E-2</v>
      </c>
      <c r="BH21" s="4">
        <v>6.8201692715485901E-2</v>
      </c>
      <c r="BI21" s="4">
        <v>7.6452977335435698E-2</v>
      </c>
      <c r="BJ21" s="4">
        <v>3.6892642834473501E-2</v>
      </c>
      <c r="BK21" s="4">
        <v>4.3572625004406798E-2</v>
      </c>
      <c r="BL21" s="4">
        <v>2.89388866631211E-2</v>
      </c>
      <c r="BM21" s="4">
        <v>1.3479570489700299E-2</v>
      </c>
      <c r="BN21" s="4">
        <v>4.8167700666641097E-3</v>
      </c>
      <c r="BO21" s="4">
        <v>2.3794239088075601E-2</v>
      </c>
      <c r="BP21" s="4">
        <v>7.4273329095186497E-2</v>
      </c>
      <c r="BQ21" s="4">
        <v>0.103693786243633</v>
      </c>
      <c r="BR21" s="4">
        <v>3.9242825022628602E-2</v>
      </c>
      <c r="BS21" s="4">
        <v>0.113250762255919</v>
      </c>
      <c r="BT21" s="4">
        <v>0.12001160944070501</v>
      </c>
      <c r="BU21" s="4">
        <v>0.105200721304972</v>
      </c>
      <c r="BV21" s="4">
        <v>8.1339174762771804E-2</v>
      </c>
      <c r="BW21" s="4">
        <v>8.1178194256442293E-2</v>
      </c>
      <c r="BX21" s="4">
        <v>8.1530851875541294E-2</v>
      </c>
      <c r="BY21" s="4">
        <v>5.81973960975955E-2</v>
      </c>
      <c r="BZ21" s="4">
        <v>5.5432947691106897E-2</v>
      </c>
      <c r="CA21" s="4">
        <v>6.1488984011177299E-2</v>
      </c>
      <c r="CB21" s="4">
        <v>2.9275653896642599E-2</v>
      </c>
      <c r="CC21" s="4">
        <v>1.2593291612589E-2</v>
      </c>
      <c r="CD21" s="4">
        <v>4.9139096431977003E-2</v>
      </c>
      <c r="CE21" s="4">
        <v>1.5905973389512398E-2</v>
      </c>
      <c r="CF21" s="4">
        <v>2.33451422771393E-2</v>
      </c>
      <c r="CG21" s="4">
        <v>7.0482647992084098E-3</v>
      </c>
      <c r="CH21" s="4">
        <v>1.01053330686943E-2</v>
      </c>
      <c r="CI21" s="4">
        <v>1.56046952644796E-2</v>
      </c>
      <c r="CJ21" s="4">
        <v>3.5573236742819201E-3</v>
      </c>
      <c r="CK21" s="4">
        <v>1.04137023628485E-2</v>
      </c>
      <c r="CL21" s="4">
        <v>1.6154012021018301E-2</v>
      </c>
      <c r="CM21" s="4">
        <v>3.5788003814263198E-3</v>
      </c>
      <c r="CN21" s="4">
        <v>1.60325295738185E-2</v>
      </c>
      <c r="CO21" s="4">
        <v>1.6345043072172799E-2</v>
      </c>
      <c r="CP21" s="4">
        <v>1.56604243641137E-2</v>
      </c>
      <c r="CQ21" s="4">
        <v>2.99209121884568E-2</v>
      </c>
      <c r="CR21" s="4">
        <v>2.8425092461488399E-2</v>
      </c>
      <c r="CS21" s="4">
        <v>3.17019626586445E-2</v>
      </c>
      <c r="CT21" s="1">
        <f>Table1[[#This Row],[Female %]]*Table1[[#This Row],[NWS_pin]]</f>
        <v>25952.623626898825</v>
      </c>
      <c r="CU21" s="1">
        <f>Table1[[#This Row],[Male %]]*Table1[[#This Row],[NWS_pin]]</f>
        <v>21796.376373101175</v>
      </c>
      <c r="CV21" s="1">
        <f>Table1[[#This Row],[Female% (0-2)22]]+Table1[[#This Row],[Male%(0-2)3]]</f>
        <v>4181.3041405351159</v>
      </c>
      <c r="CW21" s="1">
        <f>$CT21*Table1[[#This Row],[Female% (0-2)]]</f>
        <v>2273.8656599864908</v>
      </c>
      <c r="CX21" s="1">
        <f>$CU21*Table1[[#This Row],[Male%(0-2)]]</f>
        <v>1907.4384805486256</v>
      </c>
      <c r="CY21" s="1">
        <f>Table1[[#This Row],[Female%  (3-5)5]]+Table1[[#This Row],[Male% (3-5)6]]</f>
        <v>10382.826526717443</v>
      </c>
      <c r="CZ21" s="1">
        <f>$AF21*Table1[[#This Row],[Female%  (3-5)]]</f>
        <v>7044.6644958543156</v>
      </c>
      <c r="DA21" s="1">
        <f>$CU21*Table1[[#This Row],[Male% (3-5)]]</f>
        <v>3338.1620308631282</v>
      </c>
      <c r="DB21" s="1">
        <f>Table1[[#This Row],[Female% (6-8)8]]+Table1[[#This Row],[Male%(6-8)9]]</f>
        <v>5787.7450669156988</v>
      </c>
      <c r="DC21" s="1">
        <f>$CT21*Table1[[#This Row],[Female% (6-8)]]</f>
        <v>2357.5900468195496</v>
      </c>
      <c r="DD21" s="1">
        <f>$CU21*Table1[[#This Row],[Male%(6-8)]]</f>
        <v>3430.1550200961487</v>
      </c>
      <c r="DE21" s="1">
        <f>Table1[[#This Row],[Female% (9 - 11)11]]+Table1[[#This Row],[Male% (9 - 11)12]]</f>
        <v>3823.0349182772352</v>
      </c>
      <c r="DF21" s="1">
        <f>$CT21*Table1[[#This Row],[Female% (9 - 11)]]</f>
        <v>2196.414006008566</v>
      </c>
      <c r="DG21" s="1">
        <f>$CU21*Table1[[#This Row],[Male% (9 - 11)]]</f>
        <v>1626.6209122686689</v>
      </c>
      <c r="DH21" s="1">
        <f>Table1[[#This Row],[Female% (12-14)14]]+Table1[[#This Row],[Male%(12-14)15]]</f>
        <v>3436.410730609743</v>
      </c>
      <c r="DI21" s="1">
        <f>$CT21*Table1[[#This Row],[Female% (12-14)]]</f>
        <v>1770.012861762413</v>
      </c>
      <c r="DJ21" s="1">
        <f>$CU21*Table1[[#This Row],[Male%(12-14)]]</f>
        <v>1666.3978688473303</v>
      </c>
      <c r="DK21" s="1">
        <f>Table1[[#This Row],[Female% (15-17)17]]+Table1[[#This Row],[Male%(15-17)18]]</f>
        <v>1761.5868027032759</v>
      </c>
      <c r="DL21" s="1">
        <f>$CT21*Table1[[#This Row],[Female% (15-17)]]</f>
        <v>1130.8239371753705</v>
      </c>
      <c r="DM21" s="1">
        <f>$CU21*Table1[[#This Row],[Male%(15-17)]]</f>
        <v>630.76286552790543</v>
      </c>
      <c r="DN21" s="1">
        <f>$AF21*Table1[[#This Row],[Total% (18-19)]]</f>
        <v>643.63601131269957</v>
      </c>
      <c r="DO21" s="1">
        <f>$CT21*Table1[[#This Row],[Female% (18-19)]]</f>
        <v>125.007820637446</v>
      </c>
      <c r="DP21" s="1">
        <f>$CU21*Table1[[#This Row],[Male%(18-19)]]</f>
        <v>518.62819067525152</v>
      </c>
      <c r="DQ21" s="1">
        <f>$AF21*Table1[[#This Row],[Total% (20-24)]]</f>
        <v>3546.4771909660599</v>
      </c>
      <c r="DR21" s="1">
        <f>$CT21*Table1[[#This Row],[Female% (20-24)]]</f>
        <v>2691.1258068291063</v>
      </c>
      <c r="DS21" s="1">
        <f>$CU21*Table1[[#This Row],[Male% (20-24)]]</f>
        <v>855.35138413696563</v>
      </c>
      <c r="DT21" s="1">
        <f>$AF21*Table1[[#This Row],[Total% (25-29)]]</f>
        <v>5407.6106469578763</v>
      </c>
      <c r="DU21" s="1">
        <f>$CT21*Table1[[#This Row],[Female% (25-29)]]</f>
        <v>3114.6161306729946</v>
      </c>
      <c r="DV21" s="1">
        <f>$CU21*Table1[[#This Row],[Male% (25-29)]]</f>
        <v>2292.9945162848931</v>
      </c>
      <c r="DW21" s="1">
        <f>$AF21*Table1[[#This Row],[Total%   (30-34)]]</f>
        <v>3883.864255747591</v>
      </c>
      <c r="DX21" s="1">
        <f>$CT21*Table1[[#This Row],[Female%   (30-34)]]</f>
        <v>2106.787122248727</v>
      </c>
      <c r="DY21" s="1">
        <f>$CU21*Table1[[#This Row],[Male%  (30-34)]]</f>
        <v>1777.0771334988599</v>
      </c>
      <c r="DZ21" s="1">
        <f>$AF21*Table1[[#This Row],[Total% (35-39)]]</f>
        <v>2778.8674662640874</v>
      </c>
      <c r="EA21" s="1">
        <f>$CT21*Table1[[#This Row],[Female% (35-39)]]</f>
        <v>1438.6304279568676</v>
      </c>
      <c r="EB21" s="1">
        <f>$CU21*Table1[[#This Row],[Male% (35-39)]]</f>
        <v>1340.2370383072207</v>
      </c>
      <c r="EC21" s="1">
        <f>$AF21*Table1[[#This Row],[Total% (40-44)]]</f>
        <v>1397.8831979107874</v>
      </c>
      <c r="ED21" s="1">
        <f>$CT21*Table1[[#This Row],[Female% (40-44)]]</f>
        <v>326.82895744530407</v>
      </c>
      <c r="EE21" s="1">
        <f>$CU21*Table1[[#This Row],[Male%(55-59)]]</f>
        <v>1071.0542404654839</v>
      </c>
      <c r="EF21" s="1">
        <f>$AF21*Table1[[#This Row],[Total% (45-49)]]</f>
        <v>759.49432337582755</v>
      </c>
      <c r="EG21" s="1">
        <f>$CT21*Table1[[#This Row],[Female% (45-49)]]</f>
        <v>605.86769103500001</v>
      </c>
      <c r="EH21" s="1">
        <f>$CU21*Table1[[#This Row],[Male% (45-49)]]</f>
        <v>153.62663234082689</v>
      </c>
      <c r="EI21" s="1">
        <f>$AF21*Table1[[#This Row],[Total% (50-54)]]</f>
        <v>482.51954869708413</v>
      </c>
      <c r="EJ21" s="1">
        <f>$CT21*Table1[[#This Row],[Female%(50-54)]]</f>
        <v>404.98278301148946</v>
      </c>
      <c r="EK21" s="1">
        <f>$CU21*Table1[[#This Row],[Male% (50-54)]]</f>
        <v>77.536765685591902</v>
      </c>
      <c r="EL21" s="1">
        <f>$AF21*Table1[[#This Row],[Total% (55-59)]]</f>
        <v>497.24387412365303</v>
      </c>
      <c r="EM21" s="1">
        <f>$CT21*Table1[[#This Row],[Female% (55-59)]]</f>
        <v>419.23899404588718</v>
      </c>
      <c r="EN21" s="1">
        <f>$CU21*Table1[[#This Row],[Male% (55-59)]]</f>
        <v>78.004880077766117</v>
      </c>
      <c r="EO21" s="1">
        <f>$AF21*Table1[[#This Row],[Total% (60-64)]]</f>
        <v>765.53725462025955</v>
      </c>
      <c r="EP21" s="1">
        <f>$CT21*Table1[[#This Row],[Female%(60-64)]]</f>
        <v>424.19675101755075</v>
      </c>
      <c r="EQ21" s="1">
        <f>$CU21*Table1[[#This Row],[Male%(60-64)]]</f>
        <v>341.34050360270584</v>
      </c>
      <c r="ER21" s="1">
        <f>$AF21*Table1[[#This Row],[Total% (&gt;=65)]]</f>
        <v>1428.6936360866237</v>
      </c>
      <c r="ES21" s="1">
        <f>$CT21*Table1[[#This Row],[Female%(&gt;=65)]]</f>
        <v>737.70572621280746</v>
      </c>
      <c r="ET21" s="1">
        <f>$CU21*Table1[[#This Row],[Male% (&gt;=65)]]</f>
        <v>690.98790987381471</v>
      </c>
    </row>
    <row r="22" spans="1:150" x14ac:dyDescent="0.35">
      <c r="A22" t="s">
        <v>54</v>
      </c>
      <c r="B22" t="s">
        <v>55</v>
      </c>
      <c r="C22" t="s">
        <v>163</v>
      </c>
      <c r="D22" t="s">
        <v>164</v>
      </c>
      <c r="E22" t="s">
        <v>300</v>
      </c>
      <c r="F22" t="s">
        <v>301</v>
      </c>
      <c r="G22" t="s">
        <v>1143</v>
      </c>
      <c r="H22">
        <v>4</v>
      </c>
      <c r="I22" s="1">
        <v>0</v>
      </c>
      <c r="J22" s="1">
        <v>512</v>
      </c>
      <c r="K22" s="1">
        <v>35093</v>
      </c>
      <c r="L22" s="1">
        <v>20062</v>
      </c>
      <c r="M22" s="1">
        <v>0</v>
      </c>
      <c r="N22" s="1">
        <v>55155</v>
      </c>
      <c r="O22" s="3">
        <v>0</v>
      </c>
      <c r="P22" s="3">
        <v>0</v>
      </c>
      <c r="Q22" s="3">
        <v>1</v>
      </c>
      <c r="R22" s="3">
        <v>0</v>
      </c>
      <c r="S22" s="3">
        <v>0</v>
      </c>
      <c r="T22" s="1">
        <v>55667</v>
      </c>
      <c r="U22" s="1">
        <v>55667</v>
      </c>
      <c r="V22" s="10">
        <f>Table1[[#This Row],[Pop NW+RATAA]]*Table1[[#This Row],[Perc_pop_Northern_Aleppo]]</f>
        <v>55667</v>
      </c>
      <c r="W22" s="10">
        <f>Table1[[#This Row],[Pop NW+RATAA]]*Table1[[#This Row],[Perc_pop_Afrin District]]</f>
        <v>55667</v>
      </c>
      <c r="X22" s="10">
        <f>Table1[[#This Row],[Pop NW+RATAA]]*Table1[[#This Row],[Perc_pop_Euphrates Shiled]]</f>
        <v>0</v>
      </c>
      <c r="Y22" s="10">
        <f>Table1[[#This Row],[Pop NW+RATAA]]*Table1[[#This Row],[Perc_Pop_Idleb_NSAG]]</f>
        <v>0</v>
      </c>
      <c r="Z22" s="3">
        <v>1</v>
      </c>
      <c r="AA22" s="3">
        <v>1</v>
      </c>
      <c r="AB22" s="3">
        <v>0</v>
      </c>
      <c r="AC22" s="3">
        <v>0</v>
      </c>
      <c r="AD22" s="1">
        <v>0</v>
      </c>
      <c r="AE22" s="1">
        <v>0</v>
      </c>
      <c r="AF22" s="1">
        <v>55155</v>
      </c>
      <c r="AG22" s="1">
        <v>0</v>
      </c>
      <c r="AH22" s="1">
        <v>0</v>
      </c>
      <c r="AI22" s="1">
        <f>Table1[[#This Row],[NWS_pin]]*Table1[[#This Row],[Perc_pop_Northern_Aleppo]]</f>
        <v>55155</v>
      </c>
      <c r="AJ22" s="1">
        <f>Table1[[#This Row],[NWS_pin]]*Table1[[#This Row],[Perc_pop_Afrin District]]</f>
        <v>55155</v>
      </c>
      <c r="AK22" s="1">
        <f>Table1[[#This Row],[NWS_pin]]*Table1[[#This Row],[Perc_pop_Euphrates Shiled]]</f>
        <v>0</v>
      </c>
      <c r="AL22" s="1">
        <f>Table1[[#This Row],[NWS_pin]]*Table1[[#This Row],[Perc_Pop_Idleb_NSAG]]</f>
        <v>0</v>
      </c>
      <c r="AM22" s="4">
        <v>0.51813705340653704</v>
      </c>
      <c r="AN22" s="4">
        <v>0.48186294659346302</v>
      </c>
      <c r="AO22" s="4">
        <v>0.16896070257882001</v>
      </c>
      <c r="AP22" s="4">
        <v>0.41727069799627498</v>
      </c>
      <c r="AQ22" s="4">
        <v>0.51515489266012104</v>
      </c>
      <c r="AR22" s="4">
        <v>4.9257354562516498E-3</v>
      </c>
      <c r="AS22" s="4">
        <v>0</v>
      </c>
      <c r="AT22" s="4">
        <v>6.2648673887352804E-2</v>
      </c>
      <c r="AU22" s="4">
        <v>8.5979894317278496E-2</v>
      </c>
      <c r="AV22" s="4">
        <v>6.8439358240771894E-2</v>
      </c>
      <c r="AW22" s="4">
        <v>0.10484086244546301</v>
      </c>
      <c r="AX22" s="4">
        <v>0.106725899752617</v>
      </c>
      <c r="AY22" s="4">
        <v>9.5232294519828897E-2</v>
      </c>
      <c r="AZ22" s="4">
        <v>0.11908473080704</v>
      </c>
      <c r="BA22" s="4">
        <v>9.4799871235755701E-2</v>
      </c>
      <c r="BB22" s="4">
        <v>8.0439300154308294E-2</v>
      </c>
      <c r="BC22" s="4">
        <v>0.110241490140008</v>
      </c>
      <c r="BD22" s="4">
        <v>7.5091580621355097E-2</v>
      </c>
      <c r="BE22" s="4">
        <v>8.01142749426558E-2</v>
      </c>
      <c r="BF22" s="4">
        <v>6.9690783456520994E-2</v>
      </c>
      <c r="BG22" s="4">
        <v>6.1365881529706602E-2</v>
      </c>
      <c r="BH22" s="4">
        <v>4.1669360565155397E-2</v>
      </c>
      <c r="BI22" s="4">
        <v>8.25451346909645E-2</v>
      </c>
      <c r="BJ22" s="4">
        <v>7.1457877419104102E-2</v>
      </c>
      <c r="BK22" s="4">
        <v>8.6567237070189096E-2</v>
      </c>
      <c r="BL22" s="4">
        <v>5.5211101974305801E-2</v>
      </c>
      <c r="BM22" s="4">
        <v>4.5615648890942002E-2</v>
      </c>
      <c r="BN22" s="4">
        <v>5.3358336411083403E-2</v>
      </c>
      <c r="BO22" s="4">
        <v>3.7290100463749198E-2</v>
      </c>
      <c r="BP22" s="4">
        <v>7.9517863498878405E-2</v>
      </c>
      <c r="BQ22" s="4">
        <v>0.110221376947018</v>
      </c>
      <c r="BR22" s="4">
        <v>4.6503023699069397E-2</v>
      </c>
      <c r="BS22" s="4">
        <v>6.5925922411443502E-2</v>
      </c>
      <c r="BT22" s="4">
        <v>7.2589950542336107E-2</v>
      </c>
      <c r="BU22" s="4">
        <v>5.8760233652909402E-2</v>
      </c>
      <c r="BV22" s="4">
        <v>5.6744305256565E-2</v>
      </c>
      <c r="BW22" s="4">
        <v>5.5983696572593403E-2</v>
      </c>
      <c r="BX22" s="4">
        <v>5.7562171716508702E-2</v>
      </c>
      <c r="BY22" s="4">
        <v>5.9548862191922299E-2</v>
      </c>
      <c r="BZ22" s="4">
        <v>5.1467104054037399E-2</v>
      </c>
      <c r="CA22" s="4">
        <v>6.8239006095933294E-2</v>
      </c>
      <c r="CB22" s="4">
        <v>5.25276932025582E-2</v>
      </c>
      <c r="CC22" s="4">
        <v>6.1575998599265297E-2</v>
      </c>
      <c r="CD22" s="4">
        <v>4.2798241436830899E-2</v>
      </c>
      <c r="CE22" s="4">
        <v>2.82241849328294E-2</v>
      </c>
      <c r="CF22" s="4">
        <v>1.6142117227547902E-2</v>
      </c>
      <c r="CG22" s="4">
        <v>4.1215777260334902E-2</v>
      </c>
      <c r="CH22" s="4">
        <v>2.7692028401554498E-2</v>
      </c>
      <c r="CI22" s="4">
        <v>5.1088617097269598E-2</v>
      </c>
      <c r="CJ22" s="4">
        <v>2.5341705246130801E-3</v>
      </c>
      <c r="CK22" s="4">
        <v>2.3504602526181199E-2</v>
      </c>
      <c r="CL22" s="4">
        <v>1.2969930358215E-2</v>
      </c>
      <c r="CM22" s="4">
        <v>3.4832313100945499E-2</v>
      </c>
      <c r="CN22" s="4">
        <v>1.11547753596382E-2</v>
      </c>
      <c r="CO22" s="4">
        <v>1.24205138080681E-2</v>
      </c>
      <c r="CP22" s="4">
        <v>9.79375352824567E-3</v>
      </c>
      <c r="CQ22" s="4">
        <v>5.4123108451670301E-2</v>
      </c>
      <c r="CR22" s="4">
        <v>4.9720532889656298E-2</v>
      </c>
      <c r="CS22" s="4">
        <v>5.8857105006558198E-2</v>
      </c>
      <c r="CT22" s="1">
        <f>Table1[[#This Row],[Female %]]*Table1[[#This Row],[NWS_pin]]</f>
        <v>28577.84918063755</v>
      </c>
      <c r="CU22" s="1">
        <f>Table1[[#This Row],[Male %]]*Table1[[#This Row],[NWS_pin]]</f>
        <v>26577.150819362454</v>
      </c>
      <c r="CV22" s="1">
        <f>Table1[[#This Row],[Female% (0-2)22]]+Table1[[#This Row],[Male%(0-2)3]]</f>
        <v>4742.2210710695063</v>
      </c>
      <c r="CW22" s="1">
        <f>$CT22*Table1[[#This Row],[Female% (0-2)]]</f>
        <v>1955.8496578244028</v>
      </c>
      <c r="CX22" s="1">
        <f>$CU22*Table1[[#This Row],[Male%(0-2)]]</f>
        <v>2786.3714132451037</v>
      </c>
      <c r="CY22" s="1">
        <f>Table1[[#This Row],[Female%  (3-5)5]]+Table1[[#This Row],[Male% (3-5)6]]</f>
        <v>8417.4700551830429</v>
      </c>
      <c r="CZ22" s="1">
        <f>$AF22*Table1[[#This Row],[Female%  (3-5)]]</f>
        <v>5252.5372042411627</v>
      </c>
      <c r="DA22" s="1">
        <f>$CU22*Table1[[#This Row],[Male% (3-5)]]</f>
        <v>3164.9328509418806</v>
      </c>
      <c r="DB22" s="1">
        <f>Table1[[#This Row],[Female% (6-8)8]]+Table1[[#This Row],[Male%(6-8)9]]</f>
        <v>5228.686898008109</v>
      </c>
      <c r="DC22" s="1">
        <f>$CT22*Table1[[#This Row],[Female% (6-8)]]</f>
        <v>2298.7821880058573</v>
      </c>
      <c r="DD22" s="1">
        <f>$CU22*Table1[[#This Row],[Male%(6-8)]]</f>
        <v>2929.9047100022517</v>
      </c>
      <c r="DE22" s="1">
        <f>Table1[[#This Row],[Female% (9 - 11)11]]+Table1[[#This Row],[Male% (9 - 11)12]]</f>
        <v>4141.6761291708353</v>
      </c>
      <c r="DF22" s="1">
        <f>$CT22*Table1[[#This Row],[Female% (9 - 11)]]</f>
        <v>2289.4936665273476</v>
      </c>
      <c r="DG22" s="1">
        <f>$CU22*Table1[[#This Row],[Male% (9 - 11)]]</f>
        <v>1852.1824626434882</v>
      </c>
      <c r="DH22" s="1">
        <f>Table1[[#This Row],[Female% (12-14)14]]+Table1[[#This Row],[Male%(12-14)15]]</f>
        <v>3384.635195770968</v>
      </c>
      <c r="DI22" s="1">
        <f>$CT22*Table1[[#This Row],[Female% (12-14)]]</f>
        <v>1190.8207016846168</v>
      </c>
      <c r="DJ22" s="1">
        <f>$CU22*Table1[[#This Row],[Male%(12-14)]]</f>
        <v>2193.8144940863513</v>
      </c>
      <c r="DK22" s="1">
        <f>Table1[[#This Row],[Female% (15-17)17]]+Table1[[#This Row],[Male%(15-17)18]]</f>
        <v>3941.2592290506855</v>
      </c>
      <c r="DL22" s="1">
        <f>$CT22*Table1[[#This Row],[Female% (15-17)]]</f>
        <v>2473.9054449763598</v>
      </c>
      <c r="DM22" s="1">
        <f>$CU22*Table1[[#This Row],[Male%(15-17)]]</f>
        <v>1467.3537840743254</v>
      </c>
      <c r="DN22" s="1">
        <f>$AF22*Table1[[#This Row],[Total% (18-19)]]</f>
        <v>2515.9311145799061</v>
      </c>
      <c r="DO22" s="1">
        <f>$CT22*Table1[[#This Row],[Female% (18-19)]]</f>
        <v>1524.8664904856626</v>
      </c>
      <c r="DP22" s="1">
        <f>$CU22*Table1[[#This Row],[Male%(18-19)]]</f>
        <v>991.06462409424023</v>
      </c>
      <c r="DQ22" s="1">
        <f>$AF22*Table1[[#This Row],[Total% (20-24)]]</f>
        <v>4385.8077612806383</v>
      </c>
      <c r="DR22" s="1">
        <f>$CT22*Table1[[#This Row],[Female% (20-24)]]</f>
        <v>3149.8898868740807</v>
      </c>
      <c r="DS22" s="1">
        <f>$CU22*Table1[[#This Row],[Male% (20-24)]]</f>
        <v>1235.9178744065539</v>
      </c>
      <c r="DT22" s="1">
        <f>$AF22*Table1[[#This Row],[Total% (25-29)]]</f>
        <v>3636.1442506031663</v>
      </c>
      <c r="DU22" s="1">
        <f>$CT22*Table1[[#This Row],[Female% (25-29)]]</f>
        <v>2074.46465862882</v>
      </c>
      <c r="DV22" s="1">
        <f>$CU22*Table1[[#This Row],[Male% (25-29)]]</f>
        <v>1561.6795919743504</v>
      </c>
      <c r="DW22" s="1">
        <f>$AF22*Table1[[#This Row],[Total%   (30-34)]]</f>
        <v>3129.7321564258427</v>
      </c>
      <c r="DX22" s="1">
        <f>$CT22*Table1[[#This Row],[Female%   (30-34)]]</f>
        <v>1599.8936372261496</v>
      </c>
      <c r="DY22" s="1">
        <f>$CU22*Table1[[#This Row],[Male%  (30-34)]]</f>
        <v>1529.8385191996915</v>
      </c>
      <c r="DZ22" s="1">
        <f>$AF22*Table1[[#This Row],[Total% (35-39)]]</f>
        <v>3284.4174941954743</v>
      </c>
      <c r="EA22" s="1">
        <f>$CT22*Table1[[#This Row],[Female% (35-39)]]</f>
        <v>1470.8191374204603</v>
      </c>
      <c r="EB22" s="1">
        <f>$CU22*Table1[[#This Row],[Male% (35-39)]]</f>
        <v>1813.5983567750131</v>
      </c>
      <c r="EC22" s="1">
        <f>$AF22*Table1[[#This Row],[Total% (40-44)]]</f>
        <v>2897.1649185870974</v>
      </c>
      <c r="ED22" s="1">
        <f>$CT22*Table1[[#This Row],[Female% (40-44)]]</f>
        <v>1759.7096011169526</v>
      </c>
      <c r="EE22" s="1">
        <f>$CU22*Table1[[#This Row],[Male%(55-59)]]</f>
        <v>1137.4553174701425</v>
      </c>
      <c r="EF22" s="1">
        <f>$AF22*Table1[[#This Row],[Total% (45-49)]]</f>
        <v>1556.7049199702055</v>
      </c>
      <c r="EG22" s="1">
        <f>$CT22*Table1[[#This Row],[Female% (45-49)]]</f>
        <v>461.30699158503506</v>
      </c>
      <c r="EH22" s="1">
        <f>$CU22*Table1[[#This Row],[Male% (45-49)]]</f>
        <v>1095.3979283851702</v>
      </c>
      <c r="EI22" s="1">
        <f>$AF22*Table1[[#This Row],[Total% (50-54)]]</f>
        <v>1527.3538264877384</v>
      </c>
      <c r="EJ22" s="1">
        <f>$CT22*Table1[[#This Row],[Female%(50-54)]]</f>
        <v>1460.0027942531115</v>
      </c>
      <c r="EK22" s="1">
        <f>$CU22*Table1[[#This Row],[Male% (50-54)]]</f>
        <v>67.351032234624697</v>
      </c>
      <c r="EL22" s="1">
        <f>$AF22*Table1[[#This Row],[Total% (55-59)]]</f>
        <v>1296.396352331524</v>
      </c>
      <c r="EM22" s="1">
        <f>$CT22*Table1[[#This Row],[Female% (55-59)]]</f>
        <v>370.65271366044061</v>
      </c>
      <c r="EN22" s="1">
        <f>$CU22*Table1[[#This Row],[Male% (55-59)]]</f>
        <v>925.7436386710832</v>
      </c>
      <c r="EO22" s="1">
        <f>$AF22*Table1[[#This Row],[Total% (60-64)]]</f>
        <v>615.24163496084486</v>
      </c>
      <c r="EP22" s="1">
        <f>$CT22*Table1[[#This Row],[Female%(60-64)]]</f>
        <v>354.95157035299633</v>
      </c>
      <c r="EQ22" s="1">
        <f>$CU22*Table1[[#This Row],[Male%(60-64)]]</f>
        <v>260.29006460784831</v>
      </c>
      <c r="ER22" s="1">
        <f>$AF22*Table1[[#This Row],[Total% (&gt;=65)]]</f>
        <v>2985.1600466518753</v>
      </c>
      <c r="ES22" s="1">
        <f>$CT22*Table1[[#This Row],[Female%(&gt;=65)]]</f>
        <v>1420.9058901015267</v>
      </c>
      <c r="ET22" s="1">
        <f>$CU22*Table1[[#This Row],[Male% (&gt;=65)]]</f>
        <v>1564.2541565503502</v>
      </c>
    </row>
    <row r="23" spans="1:150" x14ac:dyDescent="0.35">
      <c r="A23" t="s">
        <v>54</v>
      </c>
      <c r="B23" t="s">
        <v>55</v>
      </c>
      <c r="C23" t="s">
        <v>163</v>
      </c>
      <c r="D23" t="s">
        <v>164</v>
      </c>
      <c r="E23" t="s">
        <v>397</v>
      </c>
      <c r="F23" t="s">
        <v>398</v>
      </c>
      <c r="G23" t="s">
        <v>1143</v>
      </c>
      <c r="H23">
        <v>3</v>
      </c>
      <c r="I23" s="1">
        <v>0</v>
      </c>
      <c r="J23" s="1">
        <v>688</v>
      </c>
      <c r="K23" s="1">
        <v>9803</v>
      </c>
      <c r="L23" s="1">
        <v>1229</v>
      </c>
      <c r="M23" s="1">
        <v>0</v>
      </c>
      <c r="N23" s="1">
        <v>11032</v>
      </c>
      <c r="O23" s="3">
        <v>0</v>
      </c>
      <c r="P23" s="3">
        <v>0</v>
      </c>
      <c r="Q23" s="3">
        <v>1</v>
      </c>
      <c r="R23" s="3">
        <v>0</v>
      </c>
      <c r="S23" s="3">
        <v>0</v>
      </c>
      <c r="T23" s="1">
        <v>11720</v>
      </c>
      <c r="U23" s="1">
        <v>11720</v>
      </c>
      <c r="V23" s="10">
        <f>Table1[[#This Row],[Pop NW+RATAA]]*Table1[[#This Row],[Perc_pop_Northern_Aleppo]]</f>
        <v>11720</v>
      </c>
      <c r="W23" s="10">
        <f>Table1[[#This Row],[Pop NW+RATAA]]*Table1[[#This Row],[Perc_pop_Afrin District]]</f>
        <v>11720</v>
      </c>
      <c r="X23" s="10">
        <f>Table1[[#This Row],[Pop NW+RATAA]]*Table1[[#This Row],[Perc_pop_Euphrates Shiled]]</f>
        <v>0</v>
      </c>
      <c r="Y23" s="10">
        <f>Table1[[#This Row],[Pop NW+RATAA]]*Table1[[#This Row],[Perc_Pop_Idleb_NSAG]]</f>
        <v>0</v>
      </c>
      <c r="Z23" s="3">
        <v>1</v>
      </c>
      <c r="AA23" s="3">
        <v>1</v>
      </c>
      <c r="AB23" s="3">
        <v>0</v>
      </c>
      <c r="AC23" s="3">
        <v>0</v>
      </c>
      <c r="AD23" s="1">
        <v>0</v>
      </c>
      <c r="AE23" s="1">
        <v>0</v>
      </c>
      <c r="AF23" s="1">
        <v>11032</v>
      </c>
      <c r="AG23" s="1">
        <v>0</v>
      </c>
      <c r="AH23" s="1">
        <v>0</v>
      </c>
      <c r="AI23" s="1">
        <f>Table1[[#This Row],[NWS_pin]]*Table1[[#This Row],[Perc_pop_Northern_Aleppo]]</f>
        <v>11032</v>
      </c>
      <c r="AJ23" s="1">
        <f>Table1[[#This Row],[NWS_pin]]*Table1[[#This Row],[Perc_pop_Afrin District]]</f>
        <v>11032</v>
      </c>
      <c r="AK23" s="1">
        <f>Table1[[#This Row],[NWS_pin]]*Table1[[#This Row],[Perc_pop_Euphrates Shiled]]</f>
        <v>0</v>
      </c>
      <c r="AL23" s="1">
        <f>Table1[[#This Row],[NWS_pin]]*Table1[[#This Row],[Perc_Pop_Idleb_NSAG]]</f>
        <v>0</v>
      </c>
      <c r="AM23" s="4">
        <v>0.47588068371889702</v>
      </c>
      <c r="AN23" s="4">
        <v>0.52411931628110298</v>
      </c>
      <c r="AO23" s="4">
        <v>0.23132343846629599</v>
      </c>
      <c r="AP23" s="4">
        <v>0.40791129798779802</v>
      </c>
      <c r="AQ23" s="4">
        <v>0.55072546347185602</v>
      </c>
      <c r="AR23" s="4">
        <v>1.3050409788878999E-2</v>
      </c>
      <c r="AS23" s="4">
        <v>0</v>
      </c>
      <c r="AT23" s="4">
        <v>2.83128287514668E-2</v>
      </c>
      <c r="AU23" s="4">
        <v>1.3750550549225299E-2</v>
      </c>
      <c r="AV23" s="4">
        <v>1.7478160992631601E-2</v>
      </c>
      <c r="AW23" s="4">
        <v>1.0366020059044899E-2</v>
      </c>
      <c r="AX23" s="4">
        <v>5.36311188980646E-2</v>
      </c>
      <c r="AY23" s="4">
        <v>4.8930852416797101E-2</v>
      </c>
      <c r="AZ23" s="4">
        <v>5.7898784594184398E-2</v>
      </c>
      <c r="BA23" s="4">
        <v>5.1913097976839399E-2</v>
      </c>
      <c r="BB23" s="4">
        <v>6.6160368659931496E-2</v>
      </c>
      <c r="BC23" s="4">
        <v>3.8977110496153503E-2</v>
      </c>
      <c r="BD23" s="4">
        <v>8.4625828660806604E-2</v>
      </c>
      <c r="BE23" s="4">
        <v>8.4509407266686307E-2</v>
      </c>
      <c r="BF23" s="4">
        <v>8.4731534920645696E-2</v>
      </c>
      <c r="BG23" s="4">
        <v>6.6135058147218304E-2</v>
      </c>
      <c r="BH23" s="4">
        <v>4.33275274825725E-2</v>
      </c>
      <c r="BI23" s="4">
        <v>8.6843440665236804E-2</v>
      </c>
      <c r="BJ23" s="4">
        <v>7.4133063758269405E-2</v>
      </c>
      <c r="BK23" s="4">
        <v>8.0853509741111398E-2</v>
      </c>
      <c r="BL23" s="4">
        <v>6.8031150835267298E-2</v>
      </c>
      <c r="BM23" s="4">
        <v>5.0991083171172999E-2</v>
      </c>
      <c r="BN23" s="4">
        <v>3.1984011223540797E-2</v>
      </c>
      <c r="BO23" s="4">
        <v>6.8248791698523395E-2</v>
      </c>
      <c r="BP23" s="4">
        <v>8.3047883065826902E-2</v>
      </c>
      <c r="BQ23" s="4">
        <v>0.107754586390264</v>
      </c>
      <c r="BR23" s="4">
        <v>6.0615122995279602E-2</v>
      </c>
      <c r="BS23" s="4">
        <v>0.100214498470046</v>
      </c>
      <c r="BT23" s="4">
        <v>9.3392806044178794E-2</v>
      </c>
      <c r="BU23" s="4">
        <v>0.106408339366383</v>
      </c>
      <c r="BV23" s="4">
        <v>6.6108461566285706E-2</v>
      </c>
      <c r="BW23" s="4">
        <v>6.6317851947824802E-2</v>
      </c>
      <c r="BX23" s="4">
        <v>6.59183429523829E-2</v>
      </c>
      <c r="BY23" s="4">
        <v>9.2039655147549596E-2</v>
      </c>
      <c r="BZ23" s="4">
        <v>0.124833077650687</v>
      </c>
      <c r="CA23" s="4">
        <v>6.2264457329986402E-2</v>
      </c>
      <c r="CB23" s="4">
        <v>0.104824690705405</v>
      </c>
      <c r="CC23" s="4">
        <v>9.3287982783151993E-2</v>
      </c>
      <c r="CD23" s="4">
        <v>0.11529958885047301</v>
      </c>
      <c r="CE23" s="4">
        <v>3.9488121021299297E-2</v>
      </c>
      <c r="CF23" s="4">
        <v>1.7714634320824801E-2</v>
      </c>
      <c r="CG23" s="4">
        <v>5.9257630398451902E-2</v>
      </c>
      <c r="CH23" s="4">
        <v>3.4523425913864397E-2</v>
      </c>
      <c r="CI23" s="4">
        <v>4.7428302876628498E-2</v>
      </c>
      <c r="CJ23" s="4">
        <v>2.28062815889362E-2</v>
      </c>
      <c r="CK23" s="4">
        <v>3.10059394302469E-2</v>
      </c>
      <c r="CL23" s="4">
        <v>2.5102438656036601E-2</v>
      </c>
      <c r="CM23" s="4">
        <v>3.6366096740799901E-2</v>
      </c>
      <c r="CN23" s="4">
        <v>2.5612389231150799E-2</v>
      </c>
      <c r="CO23" s="4">
        <v>3.4524360727145501E-2</v>
      </c>
      <c r="CP23" s="4">
        <v>1.7520653328551999E-2</v>
      </c>
      <c r="CQ23" s="4">
        <v>2.79551342867282E-2</v>
      </c>
      <c r="CR23" s="4">
        <v>1.6400120819986201E-2</v>
      </c>
      <c r="CS23" s="4">
        <v>3.8446653179699197E-2</v>
      </c>
      <c r="CT23" s="1">
        <f>Table1[[#This Row],[Female %]]*Table1[[#This Row],[NWS_pin]]</f>
        <v>5249.9157027868723</v>
      </c>
      <c r="CU23" s="1">
        <f>Table1[[#This Row],[Male %]]*Table1[[#This Row],[NWS_pin]]</f>
        <v>5782.0842972131277</v>
      </c>
      <c r="CV23" s="1">
        <f>Table1[[#This Row],[Female% (0-2)22]]+Table1[[#This Row],[Male%(0-2)3]]</f>
        <v>151.69607365905344</v>
      </c>
      <c r="CW23" s="1">
        <f>$CT23*Table1[[#This Row],[Female% (0-2)]]</f>
        <v>91.758871851053627</v>
      </c>
      <c r="CX23" s="1">
        <f>$CU23*Table1[[#This Row],[Male%(0-2)]]</f>
        <v>59.937201807999813</v>
      </c>
      <c r="CY23" s="1">
        <f>Table1[[#This Row],[Female%  (3-5)5]]+Table1[[#This Row],[Male% (3-5)6]]</f>
        <v>874.58081709186456</v>
      </c>
      <c r="CZ23" s="1">
        <f>$AF23*Table1[[#This Row],[Female%  (3-5)]]</f>
        <v>539.80516386210559</v>
      </c>
      <c r="DA23" s="1">
        <f>$CU23*Table1[[#This Row],[Male% (3-5)]]</f>
        <v>334.77565322975897</v>
      </c>
      <c r="DB23" s="1">
        <f>Table1[[#This Row],[Female% (6-8)8]]+Table1[[#This Row],[Male%(6-8)9]]</f>
        <v>572.70529688049294</v>
      </c>
      <c r="DC23" s="1">
        <f>$CT23*Table1[[#This Row],[Female% (6-8)]]</f>
        <v>347.33635832994281</v>
      </c>
      <c r="DD23" s="1">
        <f>$CU23*Table1[[#This Row],[Male%(6-8)]]</f>
        <v>225.36893855055015</v>
      </c>
      <c r="DE23" s="1">
        <f>Table1[[#This Row],[Female% (9 - 11)11]]+Table1[[#This Row],[Male% (9 - 11)12]]</f>
        <v>933.59214178601871</v>
      </c>
      <c r="DF23" s="1">
        <f>$CT23*Table1[[#This Row],[Female% (9 - 11)]]</f>
        <v>443.66726424258746</v>
      </c>
      <c r="DG23" s="1">
        <f>$CU23*Table1[[#This Row],[Male% (9 - 11)]]</f>
        <v>489.92487754343125</v>
      </c>
      <c r="DH23" s="1">
        <f>Table1[[#This Row],[Female% (12-14)14]]+Table1[[#This Row],[Male%(12-14)15]]</f>
        <v>729.60196148011278</v>
      </c>
      <c r="DI23" s="1">
        <f>$CT23*Table1[[#This Row],[Female% (12-14)]]</f>
        <v>227.46586689368712</v>
      </c>
      <c r="DJ23" s="1">
        <f>$CU23*Table1[[#This Row],[Male%(12-14)]]</f>
        <v>502.13609458642571</v>
      </c>
      <c r="DK23" s="1">
        <f>Table1[[#This Row],[Female% (15-17)17]]+Table1[[#This Row],[Male%(15-17)18]]</f>
        <v>817.8359593812288</v>
      </c>
      <c r="DL23" s="1">
        <f>$CT23*Table1[[#This Row],[Female% (15-17)]]</f>
        <v>424.47411041529205</v>
      </c>
      <c r="DM23" s="1">
        <f>$CU23*Table1[[#This Row],[Male%(15-17)]]</f>
        <v>393.36184896593682</v>
      </c>
      <c r="DN23" s="1">
        <f>$AF23*Table1[[#This Row],[Total% (18-19)]]</f>
        <v>562.53362954438057</v>
      </c>
      <c r="DO23" s="1">
        <f>$CT23*Table1[[#This Row],[Female% (18-19)]]</f>
        <v>167.91336276057839</v>
      </c>
      <c r="DP23" s="1">
        <f>$CU23*Table1[[#This Row],[Male%(18-19)]]</f>
        <v>394.62026678380181</v>
      </c>
      <c r="DQ23" s="1">
        <f>$AF23*Table1[[#This Row],[Total% (20-24)]]</f>
        <v>916.18424598220236</v>
      </c>
      <c r="DR23" s="1">
        <f>$CT23*Table1[[#This Row],[Female% (20-24)]]</f>
        <v>565.70249513755164</v>
      </c>
      <c r="DS23" s="1">
        <f>$CU23*Table1[[#This Row],[Male% (20-24)]]</f>
        <v>350.48175084464856</v>
      </c>
      <c r="DT23" s="1">
        <f>$AF23*Table1[[#This Row],[Total% (25-29)]]</f>
        <v>1105.5663471215476</v>
      </c>
      <c r="DU23" s="1">
        <f>$CT23*Table1[[#This Row],[Female% (25-29)]]</f>
        <v>490.30435897866295</v>
      </c>
      <c r="DV23" s="1">
        <f>$CU23*Table1[[#This Row],[Male% (25-29)]]</f>
        <v>615.26198814288864</v>
      </c>
      <c r="DW23" s="1">
        <f>$AF23*Table1[[#This Row],[Total%   (30-34)]]</f>
        <v>729.30854799926396</v>
      </c>
      <c r="DX23" s="1">
        <f>$CT23*Table1[[#This Row],[Female%   (30-34)]]</f>
        <v>348.16313231598042</v>
      </c>
      <c r="DY23" s="1">
        <f>$CU23*Table1[[#This Row],[Male%  (30-34)]]</f>
        <v>381.14541568328281</v>
      </c>
      <c r="DZ23" s="1">
        <f>$AF23*Table1[[#This Row],[Total% (35-39)]]</f>
        <v>1015.3814755877671</v>
      </c>
      <c r="EA23" s="1">
        <f>$CT23*Table1[[#This Row],[Female% (35-39)]]</f>
        <v>655.36313458555469</v>
      </c>
      <c r="EB23" s="1">
        <f>$CU23*Table1[[#This Row],[Male% (35-39)]]</f>
        <v>360.01834100221117</v>
      </c>
      <c r="EC23" s="1">
        <f>$AF23*Table1[[#This Row],[Total% (40-44)]]</f>
        <v>1156.425987862028</v>
      </c>
      <c r="ED23" s="1">
        <f>$CT23*Table1[[#This Row],[Female% (40-44)]]</f>
        <v>489.75404569458107</v>
      </c>
      <c r="EE23" s="1">
        <f>$CU23*Table1[[#This Row],[Male%(55-59)]]</f>
        <v>666.67194216744974</v>
      </c>
      <c r="EF23" s="1">
        <f>$AF23*Table1[[#This Row],[Total% (45-49)]]</f>
        <v>435.63295110697385</v>
      </c>
      <c r="EG23" s="1">
        <f>$CT23*Table1[[#This Row],[Female% (45-49)]]</f>
        <v>93.00033689002538</v>
      </c>
      <c r="EH23" s="1">
        <f>$CU23*Table1[[#This Row],[Male% (45-49)]]</f>
        <v>342.63261421694801</v>
      </c>
      <c r="EI23" s="1">
        <f>$AF23*Table1[[#This Row],[Total% (50-54)]]</f>
        <v>380.86243468175201</v>
      </c>
      <c r="EJ23" s="1">
        <f>$CT23*Table1[[#This Row],[Female%(50-54)]]</f>
        <v>248.99459202854374</v>
      </c>
      <c r="EK23" s="1">
        <f>$CU23*Table1[[#This Row],[Male% (50-54)]]</f>
        <v>131.86784265320887</v>
      </c>
      <c r="EL23" s="1">
        <f>$AF23*Table1[[#This Row],[Total% (55-59)]]</f>
        <v>342.05752379448381</v>
      </c>
      <c r="EM23" s="1">
        <f>$CT23*Table1[[#This Row],[Female% (55-59)]]</f>
        <v>131.78568687857074</v>
      </c>
      <c r="EN23" s="1">
        <f>$CU23*Table1[[#This Row],[Male% (55-59)]]</f>
        <v>210.27183691591262</v>
      </c>
      <c r="EO23" s="1">
        <f>$AF23*Table1[[#This Row],[Total% (60-64)]]</f>
        <v>282.55587799805562</v>
      </c>
      <c r="EP23" s="1">
        <f>$CT23*Table1[[#This Row],[Female%(60-64)]]</f>
        <v>181.24998351011956</v>
      </c>
      <c r="EQ23" s="1">
        <f>$CU23*Table1[[#This Row],[Male%(60-64)]]</f>
        <v>101.30589448793543</v>
      </c>
      <c r="ER23" s="1">
        <f>$AF23*Table1[[#This Row],[Total% (&gt;=65)]]</f>
        <v>308.40104145118551</v>
      </c>
      <c r="ES23" s="1">
        <f>$CT23*Table1[[#This Row],[Female%(&gt;=65)]]</f>
        <v>86.099251820447478</v>
      </c>
      <c r="ET23" s="1">
        <f>$CU23*Table1[[#This Row],[Male% (&gt;=65)]]</f>
        <v>222.30178963073789</v>
      </c>
    </row>
    <row r="24" spans="1:150" x14ac:dyDescent="0.35">
      <c r="A24" t="s">
        <v>54</v>
      </c>
      <c r="B24" t="s">
        <v>55</v>
      </c>
      <c r="C24" t="s">
        <v>163</v>
      </c>
      <c r="D24" t="s">
        <v>164</v>
      </c>
      <c r="E24" t="s">
        <v>277</v>
      </c>
      <c r="F24" t="s">
        <v>278</v>
      </c>
      <c r="G24" t="s">
        <v>1143</v>
      </c>
      <c r="H24">
        <v>3</v>
      </c>
      <c r="I24" s="1">
        <v>0</v>
      </c>
      <c r="J24" s="1">
        <v>7004</v>
      </c>
      <c r="K24" s="1">
        <v>18888</v>
      </c>
      <c r="L24" s="1">
        <v>251</v>
      </c>
      <c r="M24" s="1">
        <v>0</v>
      </c>
      <c r="N24" s="1">
        <v>19139</v>
      </c>
      <c r="O24" s="3">
        <v>0</v>
      </c>
      <c r="P24" s="3">
        <v>0</v>
      </c>
      <c r="Q24" s="3">
        <v>1</v>
      </c>
      <c r="R24" s="3">
        <v>0</v>
      </c>
      <c r="S24" s="3">
        <v>0</v>
      </c>
      <c r="T24" s="1">
        <v>26143</v>
      </c>
      <c r="U24" s="1">
        <v>26142.5</v>
      </c>
      <c r="V24" s="10">
        <f>Table1[[#This Row],[Pop NW+RATAA]]*Table1[[#This Row],[Perc_pop_Northern_Aleppo]]</f>
        <v>26142.5</v>
      </c>
      <c r="W24" s="10">
        <f>Table1[[#This Row],[Pop NW+RATAA]]*Table1[[#This Row],[Perc_pop_Afrin District]]</f>
        <v>26142.5</v>
      </c>
      <c r="X24" s="10">
        <f>Table1[[#This Row],[Pop NW+RATAA]]*Table1[[#This Row],[Perc_pop_Euphrates Shiled]]</f>
        <v>0</v>
      </c>
      <c r="Y24" s="10">
        <f>Table1[[#This Row],[Pop NW+RATAA]]*Table1[[#This Row],[Perc_Pop_Idleb_NSAG]]</f>
        <v>0</v>
      </c>
      <c r="Z24" s="3">
        <v>1</v>
      </c>
      <c r="AA24" s="3">
        <v>1</v>
      </c>
      <c r="AB24" s="3">
        <v>0</v>
      </c>
      <c r="AC24" s="3">
        <v>0</v>
      </c>
      <c r="AD24" s="1">
        <v>0</v>
      </c>
      <c r="AE24" s="1">
        <v>0</v>
      </c>
      <c r="AF24" s="1">
        <v>19139</v>
      </c>
      <c r="AG24" s="1">
        <v>0</v>
      </c>
      <c r="AH24" s="1">
        <v>0</v>
      </c>
      <c r="AI24" s="1">
        <f>Table1[[#This Row],[NWS_pin]]*Table1[[#This Row],[Perc_pop_Northern_Aleppo]]</f>
        <v>19139</v>
      </c>
      <c r="AJ24" s="1">
        <f>Table1[[#This Row],[NWS_pin]]*Table1[[#This Row],[Perc_pop_Afrin District]]</f>
        <v>19139</v>
      </c>
      <c r="AK24" s="1">
        <f>Table1[[#This Row],[NWS_pin]]*Table1[[#This Row],[Perc_pop_Euphrates Shiled]]</f>
        <v>0</v>
      </c>
      <c r="AL24" s="1">
        <f>Table1[[#This Row],[NWS_pin]]*Table1[[#This Row],[Perc_Pop_Idleb_NSAG]]</f>
        <v>0</v>
      </c>
      <c r="AM24" s="4">
        <v>0.50347884752191996</v>
      </c>
      <c r="AN24" s="4">
        <v>0.49652115247807999</v>
      </c>
      <c r="AO24" s="4">
        <v>8.9749166304190206E-2</v>
      </c>
      <c r="AP24" s="4">
        <v>0.41856840978878601</v>
      </c>
      <c r="AQ24" s="4">
        <v>0.55969415249356802</v>
      </c>
      <c r="AR24" s="4">
        <v>3.5185723415852199E-3</v>
      </c>
      <c r="AS24" s="4">
        <v>0</v>
      </c>
      <c r="AT24" s="4">
        <v>1.8218865376060898E-2</v>
      </c>
      <c r="AU24" s="4">
        <v>8.7747651856282402E-2</v>
      </c>
      <c r="AV24" s="4">
        <v>6.4618160148105896E-2</v>
      </c>
      <c r="AW24" s="4">
        <v>0.111201254529362</v>
      </c>
      <c r="AX24" s="4">
        <v>9.7937658516318596E-2</v>
      </c>
      <c r="AY24" s="4">
        <v>0.10895504958044699</v>
      </c>
      <c r="AZ24" s="4">
        <v>8.67658819908253E-2</v>
      </c>
      <c r="BA24" s="4">
        <v>0.15917756659441701</v>
      </c>
      <c r="BB24" s="4">
        <v>0.16451580494808399</v>
      </c>
      <c r="BC24" s="4">
        <v>0.15376452410732999</v>
      </c>
      <c r="BD24" s="4">
        <v>8.0664797417955195E-2</v>
      </c>
      <c r="BE24" s="4">
        <v>6.2243467986522097E-2</v>
      </c>
      <c r="BF24" s="4">
        <v>9.93442628660441E-2</v>
      </c>
      <c r="BG24" s="4">
        <v>6.2009778861291602E-2</v>
      </c>
      <c r="BH24" s="4">
        <v>6.1715806321979302E-2</v>
      </c>
      <c r="BI24" s="4">
        <v>6.2307870804721201E-2</v>
      </c>
      <c r="BJ24" s="4">
        <v>4.1442999190895301E-2</v>
      </c>
      <c r="BK24" s="4">
        <v>4.1701371834459398E-2</v>
      </c>
      <c r="BL24" s="4">
        <v>4.11810060005477E-2</v>
      </c>
      <c r="BM24" s="4">
        <v>3.9370951909610298E-2</v>
      </c>
      <c r="BN24" s="4">
        <v>5.4166680978075997E-2</v>
      </c>
      <c r="BO24" s="4">
        <v>2.4367891954442299E-2</v>
      </c>
      <c r="BP24" s="4">
        <v>7.5868317617795195E-2</v>
      </c>
      <c r="BQ24" s="4">
        <v>0.10011467732351501</v>
      </c>
      <c r="BR24" s="4">
        <v>5.1282196401587002E-2</v>
      </c>
      <c r="BS24" s="4">
        <v>7.8895380796917297E-2</v>
      </c>
      <c r="BT24" s="4">
        <v>0.11014840645318601</v>
      </c>
      <c r="BU24" s="4">
        <v>4.7204410008546097E-2</v>
      </c>
      <c r="BV24" s="4">
        <v>8.4600076824954698E-2</v>
      </c>
      <c r="BW24" s="4">
        <v>6.15985958790011E-2</v>
      </c>
      <c r="BX24" s="4">
        <v>0.10792387493540399</v>
      </c>
      <c r="BY24" s="4">
        <v>5.7242048973855097E-2</v>
      </c>
      <c r="BZ24" s="4">
        <v>5.2176894172279602E-2</v>
      </c>
      <c r="CA24" s="4">
        <v>6.2378181219761603E-2</v>
      </c>
      <c r="CB24" s="4">
        <v>3.66932109783163E-2</v>
      </c>
      <c r="CC24" s="4">
        <v>3.4132282074444499E-2</v>
      </c>
      <c r="CD24" s="4">
        <v>3.9290025890776403E-2</v>
      </c>
      <c r="CE24" s="4">
        <v>3.00527377158432E-2</v>
      </c>
      <c r="CF24" s="4">
        <v>2.5816351414940399E-2</v>
      </c>
      <c r="CG24" s="4">
        <v>3.4348488021325597E-2</v>
      </c>
      <c r="CH24" s="4">
        <v>1.83136944048563E-2</v>
      </c>
      <c r="CI24" s="4">
        <v>1.1633887814579099E-2</v>
      </c>
      <c r="CJ24" s="4">
        <v>2.50871043733078E-2</v>
      </c>
      <c r="CK24" s="4">
        <v>1.5907996820648699E-2</v>
      </c>
      <c r="CL24" s="4">
        <v>2.2429699494749999E-2</v>
      </c>
      <c r="CM24" s="4">
        <v>9.2949062607615308E-3</v>
      </c>
      <c r="CN24" s="4">
        <v>1.88071985458164E-2</v>
      </c>
      <c r="CO24" s="4">
        <v>7.4233280552855503E-3</v>
      </c>
      <c r="CP24" s="4">
        <v>3.03505899326805E-2</v>
      </c>
      <c r="CQ24" s="4">
        <v>1.5267932974226E-2</v>
      </c>
      <c r="CR24" s="4">
        <v>1.6609535520345699E-2</v>
      </c>
      <c r="CS24" s="4">
        <v>1.39075307025773E-2</v>
      </c>
      <c r="CT24" s="1">
        <f>Table1[[#This Row],[Female %]]*Table1[[#This Row],[NWS_pin]]</f>
        <v>9636.0816627220265</v>
      </c>
      <c r="CU24" s="1">
        <f>Table1[[#This Row],[Male %]]*Table1[[#This Row],[NWS_pin]]</f>
        <v>9502.9183372779735</v>
      </c>
      <c r="CV24" s="1">
        <f>Table1[[#This Row],[Female% (0-2)22]]+Table1[[#This Row],[Male%(0-2)3]]</f>
        <v>1679.4023088773879</v>
      </c>
      <c r="CW24" s="1">
        <f>$CT24*Table1[[#This Row],[Female% (0-2)]]</f>
        <v>622.6658680819985</v>
      </c>
      <c r="CX24" s="1">
        <f>$CU24*Table1[[#This Row],[Male%(0-2)]]</f>
        <v>1056.7364407953894</v>
      </c>
      <c r="CY24" s="1">
        <f>Table1[[#This Row],[Female%  (3-5)5]]+Table1[[#This Row],[Male% (3-5)6]]</f>
        <v>2909.8197849408853</v>
      </c>
      <c r="CZ24" s="1">
        <f>$AF24*Table1[[#This Row],[Female%  (3-5)]]</f>
        <v>2085.2906939201748</v>
      </c>
      <c r="DA24" s="1">
        <f>$CU24*Table1[[#This Row],[Male% (3-5)]]</f>
        <v>824.52909102071044</v>
      </c>
      <c r="DB24" s="1">
        <f>Table1[[#This Row],[Female% (6-8)8]]+Table1[[#This Row],[Male%(6-8)9]]</f>
        <v>3046.499447050553</v>
      </c>
      <c r="DC24" s="1">
        <f>$CT24*Table1[[#This Row],[Female% (6-8)]]</f>
        <v>1585.2877312881858</v>
      </c>
      <c r="DD24" s="1">
        <f>$CU24*Table1[[#This Row],[Male%(6-8)]]</f>
        <v>1461.2117157623672</v>
      </c>
      <c r="DE24" s="1">
        <f>Table1[[#This Row],[Female% (9 - 11)11]]+Table1[[#This Row],[Male% (9 - 11)12]]</f>
        <v>1543.8435577822447</v>
      </c>
      <c r="DF24" s="1">
        <f>$CT24*Table1[[#This Row],[Female% (9 - 11)]]</f>
        <v>599.78314048915104</v>
      </c>
      <c r="DG24" s="1">
        <f>$CU24*Table1[[#This Row],[Male% (9 - 11)]]</f>
        <v>944.06041729309368</v>
      </c>
      <c r="DH24" s="1">
        <f>Table1[[#This Row],[Female% (12-14)14]]+Table1[[#This Row],[Male%(12-14)15]]</f>
        <v>1186.805157626261</v>
      </c>
      <c r="DI24" s="1">
        <f>$CT24*Table1[[#This Row],[Female% (12-14)]]</f>
        <v>594.69854959932889</v>
      </c>
      <c r="DJ24" s="1">
        <f>$CU24*Table1[[#This Row],[Male%(12-14)]]</f>
        <v>592.10660802693201</v>
      </c>
      <c r="DK24" s="1">
        <f>Table1[[#This Row],[Female% (15-17)17]]+Table1[[#This Row],[Male%(15-17)18]]</f>
        <v>793.17756151454603</v>
      </c>
      <c r="DL24" s="1">
        <f>$CT24*Table1[[#This Row],[Female% (15-17)]]</f>
        <v>401.83782444438702</v>
      </c>
      <c r="DM24" s="1">
        <f>$CU24*Table1[[#This Row],[Male%(15-17)]]</f>
        <v>391.339737070159</v>
      </c>
      <c r="DN24" s="1">
        <f>$AF24*Table1[[#This Row],[Total% (18-19)]]</f>
        <v>753.52064859803147</v>
      </c>
      <c r="DO24" s="1">
        <f>$CT24*Table1[[#This Row],[Female% (18-19)]]</f>
        <v>521.95456130335208</v>
      </c>
      <c r="DP24" s="1">
        <f>$CU24*Table1[[#This Row],[Male%(18-19)]]</f>
        <v>231.56608729467811</v>
      </c>
      <c r="DQ24" s="1">
        <f>$AF24*Table1[[#This Row],[Total% (20-24)]]</f>
        <v>1452.0437308869823</v>
      </c>
      <c r="DR24" s="1">
        <f>$CT24*Table1[[#This Row],[Female% (20-24)]]</f>
        <v>964.71320632645563</v>
      </c>
      <c r="DS24" s="1">
        <f>$CU24*Table1[[#This Row],[Male% (20-24)]]</f>
        <v>487.33052456053161</v>
      </c>
      <c r="DT24" s="1">
        <f>$AF24*Table1[[#This Row],[Total% (25-29)]]</f>
        <v>1509.9786930722003</v>
      </c>
      <c r="DU24" s="1">
        <f>$CT24*Table1[[#This Row],[Female% (25-29)]]</f>
        <v>1061.3990396015981</v>
      </c>
      <c r="DV24" s="1">
        <f>$CU24*Table1[[#This Row],[Male% (25-29)]]</f>
        <v>448.57965347060059</v>
      </c>
      <c r="DW24" s="1">
        <f>$AF24*Table1[[#This Row],[Total%   (30-34)]]</f>
        <v>1619.1608703528079</v>
      </c>
      <c r="DX24" s="1">
        <f>$CT24*Table1[[#This Row],[Female%   (30-34)]]</f>
        <v>593.56910019906707</v>
      </c>
      <c r="DY24" s="1">
        <f>$CU24*Table1[[#This Row],[Male%  (30-34)]]</f>
        <v>1025.5917701537453</v>
      </c>
      <c r="DZ24" s="1">
        <f>$AF24*Table1[[#This Row],[Total% (35-39)]]</f>
        <v>1095.5555753106128</v>
      </c>
      <c r="EA24" s="1">
        <f>$CT24*Table1[[#This Row],[Female% (35-39)]]</f>
        <v>502.78081315129123</v>
      </c>
      <c r="EB24" s="1">
        <f>$CU24*Table1[[#This Row],[Male% (35-39)]]</f>
        <v>592.77476215932109</v>
      </c>
      <c r="EC24" s="1">
        <f>$AF24*Table1[[#This Row],[Total% (40-44)]]</f>
        <v>702.27136491399563</v>
      </c>
      <c r="ED24" s="1">
        <f>$CT24*Table1[[#This Row],[Female% (40-44)]]</f>
        <v>328.90145740441039</v>
      </c>
      <c r="EE24" s="1">
        <f>$CU24*Table1[[#This Row],[Male%(55-59)]]</f>
        <v>373.3699075095854</v>
      </c>
      <c r="EF24" s="1">
        <f>$AF24*Table1[[#This Row],[Total% (45-49)]]</f>
        <v>575.17934714352305</v>
      </c>
      <c r="EG24" s="1">
        <f>$CT24*Table1[[#This Row],[Female% (45-49)]]</f>
        <v>248.76847046789501</v>
      </c>
      <c r="EH24" s="1">
        <f>$CU24*Table1[[#This Row],[Male% (45-49)]]</f>
        <v>326.41087667562783</v>
      </c>
      <c r="EI24" s="1">
        <f>$AF24*Table1[[#This Row],[Total% (50-54)]]</f>
        <v>350.50579721454471</v>
      </c>
      <c r="EJ24" s="1">
        <f>$CT24*Table1[[#This Row],[Female%(50-54)]]</f>
        <v>112.1050930362309</v>
      </c>
      <c r="EK24" s="1">
        <f>$CU24*Table1[[#This Row],[Male% (50-54)]]</f>
        <v>238.40070417831313</v>
      </c>
      <c r="EL24" s="1">
        <f>$AF24*Table1[[#This Row],[Total% (55-59)]]</f>
        <v>304.46315115039545</v>
      </c>
      <c r="EM24" s="1">
        <f>$CT24*Table1[[#This Row],[Female% (55-59)]]</f>
        <v>216.13441600172595</v>
      </c>
      <c r="EN24" s="1">
        <f>$CU24*Table1[[#This Row],[Male% (55-59)]]</f>
        <v>88.328735148670589</v>
      </c>
      <c r="EO24" s="1">
        <f>$AF24*Table1[[#This Row],[Total% (60-64)]]</f>
        <v>359.95097296838009</v>
      </c>
      <c r="EP24" s="1">
        <f>$CT24*Table1[[#This Row],[Female%(60-64)]]</f>
        <v>71.531795349907057</v>
      </c>
      <c r="EQ24" s="1">
        <f>$CU24*Table1[[#This Row],[Male%(60-64)]]</f>
        <v>288.41917761847378</v>
      </c>
      <c r="ER24" s="1">
        <f>$AF24*Table1[[#This Row],[Total% (&gt;=65)]]</f>
        <v>292.21296919371139</v>
      </c>
      <c r="ES24" s="1">
        <f>$CT24*Table1[[#This Row],[Female%(&gt;=65)]]</f>
        <v>160.05084065393334</v>
      </c>
      <c r="ET24" s="1">
        <f>$CU24*Table1[[#This Row],[Male% (&gt;=65)]]</f>
        <v>132.16212853977825</v>
      </c>
    </row>
    <row r="25" spans="1:150" x14ac:dyDescent="0.35">
      <c r="A25" t="s">
        <v>54</v>
      </c>
      <c r="B25" t="s">
        <v>55</v>
      </c>
      <c r="C25" t="s">
        <v>128</v>
      </c>
      <c r="D25" t="s">
        <v>129</v>
      </c>
      <c r="E25" t="s">
        <v>128</v>
      </c>
      <c r="F25" t="s">
        <v>309</v>
      </c>
      <c r="G25" t="s">
        <v>1143</v>
      </c>
      <c r="H25">
        <v>4</v>
      </c>
      <c r="I25" s="1">
        <v>0</v>
      </c>
      <c r="J25" s="1">
        <v>0</v>
      </c>
      <c r="K25" s="1">
        <v>194397</v>
      </c>
      <c r="L25" s="1">
        <v>102131</v>
      </c>
      <c r="M25" s="1">
        <v>0</v>
      </c>
      <c r="N25" s="1">
        <v>296528</v>
      </c>
      <c r="O25" s="3">
        <v>0</v>
      </c>
      <c r="P25" s="3">
        <v>0</v>
      </c>
      <c r="Q25" s="3">
        <v>0.8</v>
      </c>
      <c r="R25" s="3">
        <v>0</v>
      </c>
      <c r="S25" s="3">
        <v>0.2</v>
      </c>
      <c r="T25" s="1">
        <v>296528</v>
      </c>
      <c r="U25" s="1">
        <v>296451.5</v>
      </c>
      <c r="V25" s="10">
        <f>Table1[[#This Row],[Pop NW+RATAA]]*Table1[[#This Row],[Perc_pop_Northern_Aleppo]]</f>
        <v>296451.5</v>
      </c>
      <c r="W25" s="10">
        <f>Table1[[#This Row],[Pop NW+RATAA]]*Table1[[#This Row],[Perc_pop_Afrin District]]</f>
        <v>0</v>
      </c>
      <c r="X25" s="10">
        <f>Table1[[#This Row],[Pop NW+RATAA]]*Table1[[#This Row],[Perc_pop_Euphrates Shiled]]</f>
        <v>296451.5</v>
      </c>
      <c r="Y25" s="10">
        <f>Table1[[#This Row],[Pop NW+RATAA]]*Table1[[#This Row],[Perc_Pop_Idleb_NSAG]]</f>
        <v>0</v>
      </c>
      <c r="Z25" s="3">
        <v>1</v>
      </c>
      <c r="AA25" s="3">
        <v>0</v>
      </c>
      <c r="AB25" s="3">
        <v>1</v>
      </c>
      <c r="AC25" s="3">
        <v>0</v>
      </c>
      <c r="AD25" s="1">
        <v>0</v>
      </c>
      <c r="AE25" s="1">
        <v>0</v>
      </c>
      <c r="AF25" s="1">
        <v>237222.40000000002</v>
      </c>
      <c r="AG25" s="1">
        <v>0</v>
      </c>
      <c r="AH25" s="1">
        <v>59305.600000000006</v>
      </c>
      <c r="AI25" s="1">
        <f>Table1[[#This Row],[NWS_pin]]*Table1[[#This Row],[Perc_pop_Northern_Aleppo]]</f>
        <v>237222.40000000002</v>
      </c>
      <c r="AJ25" s="1">
        <f>Table1[[#This Row],[NWS_pin]]*Table1[[#This Row],[Perc_pop_Afrin District]]</f>
        <v>0</v>
      </c>
      <c r="AK25" s="1">
        <f>Table1[[#This Row],[NWS_pin]]*Table1[[#This Row],[Perc_pop_Euphrates Shiled]]</f>
        <v>237222.40000000002</v>
      </c>
      <c r="AL25" s="1">
        <f>Table1[[#This Row],[NWS_pin]]*Table1[[#This Row],[Perc_Pop_Idleb_NSAG]]</f>
        <v>0</v>
      </c>
      <c r="AM25" s="4">
        <v>0.46342777498618698</v>
      </c>
      <c r="AN25" s="4">
        <v>0.53657222501381296</v>
      </c>
      <c r="AO25" s="4">
        <v>0.107713939662428</v>
      </c>
      <c r="AP25" s="4">
        <v>0.33764903404348001</v>
      </c>
      <c r="AQ25" s="4">
        <v>0.61941688652745897</v>
      </c>
      <c r="AR25" s="4">
        <v>0</v>
      </c>
      <c r="AS25" s="4">
        <v>0</v>
      </c>
      <c r="AT25" s="4">
        <v>4.2934079429061703E-2</v>
      </c>
      <c r="AU25" s="4">
        <v>0.114977865592877</v>
      </c>
      <c r="AV25" s="4">
        <v>9.0076717805796097E-2</v>
      </c>
      <c r="AW25" s="4">
        <v>0.13648453883387801</v>
      </c>
      <c r="AX25" s="4">
        <v>0.214650927943077</v>
      </c>
      <c r="AY25" s="4">
        <v>0.21081894238414101</v>
      </c>
      <c r="AZ25" s="4">
        <v>0.217960544912743</v>
      </c>
      <c r="BA25" s="4">
        <v>0.111441687392466</v>
      </c>
      <c r="BB25" s="4">
        <v>0.12921877071577401</v>
      </c>
      <c r="BC25" s="4">
        <v>9.6087940429413099E-2</v>
      </c>
      <c r="BD25" s="4">
        <v>7.3520947701474507E-2</v>
      </c>
      <c r="BE25" s="4">
        <v>4.8997227911372301E-2</v>
      </c>
      <c r="BF25" s="4">
        <v>9.4701643173401295E-2</v>
      </c>
      <c r="BG25" s="4">
        <v>4.2505272533034301E-2</v>
      </c>
      <c r="BH25" s="4">
        <v>5.3532343262831003E-2</v>
      </c>
      <c r="BI25" s="4">
        <v>3.2981389978745501E-2</v>
      </c>
      <c r="BJ25" s="4">
        <v>2.8310499494752801E-2</v>
      </c>
      <c r="BK25" s="4">
        <v>1.9272908546643899E-2</v>
      </c>
      <c r="BL25" s="4">
        <v>3.6116104162809602E-2</v>
      </c>
      <c r="BM25" s="4">
        <v>1.4703924492584701E-2</v>
      </c>
      <c r="BN25" s="4">
        <v>1.3314755738864301E-2</v>
      </c>
      <c r="BO25" s="4">
        <v>1.5903724546716E-2</v>
      </c>
      <c r="BP25" s="4">
        <v>4.0313146074094502E-2</v>
      </c>
      <c r="BQ25" s="4">
        <v>5.4069171372954201E-2</v>
      </c>
      <c r="BR25" s="4">
        <v>2.8432314566760802E-2</v>
      </c>
      <c r="BS25" s="4">
        <v>9.7933335953494502E-2</v>
      </c>
      <c r="BT25" s="4">
        <v>0.15051930718222301</v>
      </c>
      <c r="BU25" s="4">
        <v>5.2515778901617301E-2</v>
      </c>
      <c r="BV25" s="4">
        <v>8.7872189836524603E-2</v>
      </c>
      <c r="BW25" s="4">
        <v>8.5809708116396294E-2</v>
      </c>
      <c r="BX25" s="4">
        <v>8.9653518183298794E-2</v>
      </c>
      <c r="BY25" s="4">
        <v>6.9367650082453894E-2</v>
      </c>
      <c r="BZ25" s="4">
        <v>5.0398453571699899E-2</v>
      </c>
      <c r="CA25" s="4">
        <v>8.5751003753114299E-2</v>
      </c>
      <c r="CB25" s="4">
        <v>3.3504668055352099E-2</v>
      </c>
      <c r="CC25" s="4">
        <v>2.5030605902815899E-2</v>
      </c>
      <c r="CD25" s="4">
        <v>4.0823563043521499E-2</v>
      </c>
      <c r="CE25" s="4">
        <v>3.5823848512241102E-2</v>
      </c>
      <c r="CF25" s="4">
        <v>4.4617822990434798E-2</v>
      </c>
      <c r="CG25" s="4">
        <v>2.8228651005307699E-2</v>
      </c>
      <c r="CH25" s="4">
        <v>1.4028585525471701E-2</v>
      </c>
      <c r="CI25" s="4">
        <v>9.3947722844293002E-4</v>
      </c>
      <c r="CJ25" s="4">
        <v>2.53334128196708E-2</v>
      </c>
      <c r="CK25" s="4">
        <v>8.8989898628995204E-3</v>
      </c>
      <c r="CL25" s="4">
        <v>1.7888784680089798E-2</v>
      </c>
      <c r="CM25" s="4">
        <v>1.13466585301327E-3</v>
      </c>
      <c r="CN25" s="4">
        <v>1.5637814902502399E-3</v>
      </c>
      <c r="CO25" s="4">
        <v>0</v>
      </c>
      <c r="CP25" s="4">
        <v>2.9143914227203701E-3</v>
      </c>
      <c r="CQ25" s="4">
        <v>1.0582679456951001E-2</v>
      </c>
      <c r="CR25" s="4">
        <v>5.4950025895199803E-3</v>
      </c>
      <c r="CS25" s="4">
        <v>1.49768144132686E-2</v>
      </c>
      <c r="CT25" s="1">
        <f>Table1[[#This Row],[Female %]]*Table1[[#This Row],[NWS_pin]]</f>
        <v>109935.44900888325</v>
      </c>
      <c r="CU25" s="1">
        <f>Table1[[#This Row],[Male %]]*Table1[[#This Row],[NWS_pin]]</f>
        <v>127286.95099111676</v>
      </c>
      <c r="CV25" s="1">
        <f>Table1[[#This Row],[Female% (0-2)22]]+Table1[[#This Row],[Male%(0-2)3]]</f>
        <v>27275.325222819665</v>
      </c>
      <c r="CW25" s="1">
        <f>$CT25*Table1[[#This Row],[Female% (0-2)]]</f>
        <v>9902.6244172266634</v>
      </c>
      <c r="CX25" s="1">
        <f>$CU25*Table1[[#This Row],[Male%(0-2)]]</f>
        <v>17372.700805593002</v>
      </c>
      <c r="CY25" s="1">
        <f>Table1[[#This Row],[Female%  (3-5)5]]+Table1[[#This Row],[Male% (3-5)6]]</f>
        <v>77754.508676133075</v>
      </c>
      <c r="CZ25" s="1">
        <f>$AF25*Table1[[#This Row],[Female%  (3-5)]]</f>
        <v>50010.975477827655</v>
      </c>
      <c r="DA25" s="1">
        <f>$CU25*Table1[[#This Row],[Male% (3-5)]]</f>
        <v>27743.53319830542</v>
      </c>
      <c r="DB25" s="1">
        <f>Table1[[#This Row],[Female% (6-8)8]]+Table1[[#This Row],[Male%(6-8)9]]</f>
        <v>26436.464543290604</v>
      </c>
      <c r="DC25" s="1">
        <f>$CT25*Table1[[#This Row],[Female% (6-8)]]</f>
        <v>14205.72357901455</v>
      </c>
      <c r="DD25" s="1">
        <f>$CU25*Table1[[#This Row],[Male%(6-8)]]</f>
        <v>12230.740964276052</v>
      </c>
      <c r="DE25" s="1">
        <f>Table1[[#This Row],[Female% (9 - 11)11]]+Table1[[#This Row],[Male% (9 - 11)12]]</f>
        <v>17440.815664018257</v>
      </c>
      <c r="DF25" s="1">
        <f>$CT25*Table1[[#This Row],[Female% (9 - 11)]]</f>
        <v>5386.5322506273005</v>
      </c>
      <c r="DG25" s="1">
        <f>$CU25*Table1[[#This Row],[Male% (9 - 11)]]</f>
        <v>12054.283413390956</v>
      </c>
      <c r="DH25" s="1">
        <f>Table1[[#This Row],[Female% (12-14)14]]+Table1[[#This Row],[Male%(12-14)15]]</f>
        <v>10083.20276294048</v>
      </c>
      <c r="DI25" s="1">
        <f>$CT25*Table1[[#This Row],[Female% (12-14)]]</f>
        <v>5885.1021930969928</v>
      </c>
      <c r="DJ25" s="1">
        <f>$CU25*Table1[[#This Row],[Male%(12-14)]]</f>
        <v>4198.1005698434883</v>
      </c>
      <c r="DK25" s="1">
        <f>Table1[[#This Row],[Female% (15-17)17]]+Table1[[#This Row],[Male%(15-17)18]]</f>
        <v>6715.884635344054</v>
      </c>
      <c r="DL25" s="1">
        <f>$CT25*Table1[[#This Row],[Female% (15-17)]]</f>
        <v>2118.7758547824405</v>
      </c>
      <c r="DM25" s="1">
        <f>$CU25*Table1[[#This Row],[Male%(15-17)]]</f>
        <v>4597.1087805616135</v>
      </c>
      <c r="DN25" s="1">
        <f>$AF25*Table1[[#This Row],[Total% (18-19)]]</f>
        <v>3488.100257549725</v>
      </c>
      <c r="DO25" s="1">
        <f>$CT25*Table1[[#This Row],[Female% (18-19)]]</f>
        <v>1463.7636505956521</v>
      </c>
      <c r="DP25" s="1">
        <f>$CU25*Table1[[#This Row],[Male%(18-19)]]</f>
        <v>2024.33660695406</v>
      </c>
      <c r="DQ25" s="1">
        <f>$AF25*Table1[[#This Row],[Total% (20-24)]]</f>
        <v>9563.1812632472775</v>
      </c>
      <c r="DR25" s="1">
        <f>$CT25*Table1[[#This Row],[Female% (20-24)]]</f>
        <v>5944.118632423977</v>
      </c>
      <c r="DS25" s="1">
        <f>$CU25*Table1[[#This Row],[Male% (20-24)]]</f>
        <v>3619.0626308232972</v>
      </c>
      <c r="DT25" s="1">
        <f>$AF25*Table1[[#This Row],[Total% (25-29)]]</f>
        <v>23231.980994894257</v>
      </c>
      <c r="DU25" s="1">
        <f>$CT25*Table1[[#This Row],[Female% (25-29)]]</f>
        <v>16547.407619583711</v>
      </c>
      <c r="DV25" s="1">
        <f>$CU25*Table1[[#This Row],[Male% (25-29)]]</f>
        <v>6684.5733753104851</v>
      </c>
      <c r="DW25" s="1">
        <f>$AF25*Table1[[#This Row],[Total%   (30-34)]]</f>
        <v>20845.251766275975</v>
      </c>
      <c r="DX25" s="1">
        <f>$CT25*Table1[[#This Row],[Female%   (30-34)]]</f>
        <v>9433.5287910972402</v>
      </c>
      <c r="DY25" s="1">
        <f>$CU25*Table1[[#This Row],[Male%  (30-34)]]</f>
        <v>11411.722975178749</v>
      </c>
      <c r="DZ25" s="1">
        <f>$AF25*Table1[[#This Row],[Total% (35-39)]]</f>
        <v>16455.560434919913</v>
      </c>
      <c r="EA25" s="1">
        <f>$CT25*Table1[[#This Row],[Female% (35-39)]]</f>
        <v>5540.5766227581844</v>
      </c>
      <c r="EB25" s="1">
        <f>$CU25*Table1[[#This Row],[Male% (35-39)]]</f>
        <v>10914.983812161729</v>
      </c>
      <c r="EC25" s="1">
        <f>$AF25*Table1[[#This Row],[Total% (40-44)]]</f>
        <v>7948.0577672939589</v>
      </c>
      <c r="ED25" s="1">
        <f>$CT25*Table1[[#This Row],[Female% (40-44)]]</f>
        <v>2751.7508988904697</v>
      </c>
      <c r="EE25" s="1">
        <f>$CU25*Table1[[#This Row],[Male%(55-59)]]</f>
        <v>5196.3068684034861</v>
      </c>
      <c r="EF25" s="1">
        <f>$AF25*Table1[[#This Row],[Total% (45-49)]]</f>
        <v>8498.2193213102637</v>
      </c>
      <c r="EG25" s="1">
        <f>$CT25*Table1[[#This Row],[Female% (45-49)]]</f>
        <v>4905.0804042523241</v>
      </c>
      <c r="EH25" s="1">
        <f>$CU25*Table1[[#This Row],[Male% (45-49)]]</f>
        <v>3593.13891705794</v>
      </c>
      <c r="EI25" s="1">
        <f>$AF25*Table1[[#This Row],[Total% (50-54)]]</f>
        <v>3327.8947269576583</v>
      </c>
      <c r="EJ25" s="1">
        <f>$CT25*Table1[[#This Row],[Female%(50-54)]]</f>
        <v>103.2818509424947</v>
      </c>
      <c r="EK25" s="1">
        <f>$CU25*Table1[[#This Row],[Male% (50-54)]]</f>
        <v>3224.612876015166</v>
      </c>
      <c r="EL25" s="1">
        <f>$AF25*Table1[[#This Row],[Total% (55-59)]]</f>
        <v>2111.0397328526956</v>
      </c>
      <c r="EM25" s="1">
        <f>$CT25*Table1[[#This Row],[Female% (55-59)]]</f>
        <v>1966.611576028904</v>
      </c>
      <c r="EN25" s="1">
        <f>$CU25*Table1[[#This Row],[Male% (55-59)]]</f>
        <v>144.42815682379378</v>
      </c>
      <c r="EO25" s="1">
        <f>$AF25*Table1[[#This Row],[Total% (60-64)]]</f>
        <v>370.96399819273853</v>
      </c>
      <c r="EP25" s="1">
        <f>$CT25*Table1[[#This Row],[Female%(60-64)]]</f>
        <v>0</v>
      </c>
      <c r="EQ25" s="1">
        <f>$CU25*Table1[[#This Row],[Male%(60-64)]]</f>
        <v>370.96399819273876</v>
      </c>
      <c r="ER25" s="1">
        <f>$AF25*Table1[[#This Row],[Total% (&gt;=65)]]</f>
        <v>2510.4486192086133</v>
      </c>
      <c r="ES25" s="1">
        <f>$CT25*Table1[[#This Row],[Female%(&gt;=65)]]</f>
        <v>604.09557698385527</v>
      </c>
      <c r="ET25" s="1">
        <f>$CU25*Table1[[#This Row],[Male% (&gt;=65)]]</f>
        <v>1906.3530422247713</v>
      </c>
    </row>
    <row r="26" spans="1:150" x14ac:dyDescent="0.35">
      <c r="A26" t="s">
        <v>54</v>
      </c>
      <c r="B26" t="s">
        <v>55</v>
      </c>
      <c r="C26" t="s">
        <v>128</v>
      </c>
      <c r="D26" t="s">
        <v>129</v>
      </c>
      <c r="E26" t="s">
        <v>411</v>
      </c>
      <c r="F26" t="s">
        <v>412</v>
      </c>
      <c r="G26" t="s">
        <v>1143</v>
      </c>
      <c r="H26">
        <v>4</v>
      </c>
      <c r="I26" s="1">
        <v>0</v>
      </c>
      <c r="J26" s="1">
        <v>0</v>
      </c>
      <c r="K26" s="1">
        <v>53904</v>
      </c>
      <c r="L26" s="1">
        <v>47702</v>
      </c>
      <c r="M26" s="1">
        <v>0</v>
      </c>
      <c r="N26" s="1">
        <v>101606</v>
      </c>
      <c r="O26" s="3">
        <v>0</v>
      </c>
      <c r="P26" s="3">
        <v>0</v>
      </c>
      <c r="Q26" s="3">
        <v>0.94</v>
      </c>
      <c r="R26" s="3">
        <v>0</v>
      </c>
      <c r="S26" s="3">
        <v>0.06</v>
      </c>
      <c r="T26" s="1">
        <v>101606</v>
      </c>
      <c r="U26" s="1">
        <v>100787</v>
      </c>
      <c r="V26" s="10">
        <f>Table1[[#This Row],[Pop NW+RATAA]]*Table1[[#This Row],[Perc_pop_Northern_Aleppo]]</f>
        <v>100787</v>
      </c>
      <c r="W26" s="10">
        <f>Table1[[#This Row],[Pop NW+RATAA]]*Table1[[#This Row],[Perc_pop_Afrin District]]</f>
        <v>0</v>
      </c>
      <c r="X26" s="10">
        <f>Table1[[#This Row],[Pop NW+RATAA]]*Table1[[#This Row],[Perc_pop_Euphrates Shiled]]</f>
        <v>100787</v>
      </c>
      <c r="Y26" s="10">
        <f>Table1[[#This Row],[Pop NW+RATAA]]*Table1[[#This Row],[Perc_Pop_Idleb_NSAG]]</f>
        <v>0</v>
      </c>
      <c r="Z26" s="3">
        <v>1</v>
      </c>
      <c r="AA26" s="3">
        <v>0</v>
      </c>
      <c r="AB26" s="3">
        <v>1</v>
      </c>
      <c r="AC26" s="3">
        <v>0</v>
      </c>
      <c r="AD26" s="1">
        <v>0</v>
      </c>
      <c r="AE26" s="1">
        <v>0</v>
      </c>
      <c r="AF26" s="1">
        <v>95509.64</v>
      </c>
      <c r="AG26" s="1">
        <v>0</v>
      </c>
      <c r="AH26" s="1">
        <v>6096.36</v>
      </c>
      <c r="AI26" s="1">
        <f>Table1[[#This Row],[NWS_pin]]*Table1[[#This Row],[Perc_pop_Northern_Aleppo]]</f>
        <v>95509.64</v>
      </c>
      <c r="AJ26" s="1">
        <f>Table1[[#This Row],[NWS_pin]]*Table1[[#This Row],[Perc_pop_Afrin District]]</f>
        <v>0</v>
      </c>
      <c r="AK26" s="1">
        <f>Table1[[#This Row],[NWS_pin]]*Table1[[#This Row],[Perc_pop_Euphrates Shiled]]</f>
        <v>95509.64</v>
      </c>
      <c r="AL26" s="1">
        <f>Table1[[#This Row],[NWS_pin]]*Table1[[#This Row],[Perc_Pop_Idleb_NSAG]]</f>
        <v>0</v>
      </c>
      <c r="AM26" s="4">
        <v>0.47943904320115499</v>
      </c>
      <c r="AN26" s="4">
        <v>0.52056095679884495</v>
      </c>
      <c r="AO26" s="4">
        <v>0.15491559798177801</v>
      </c>
      <c r="AP26" s="4">
        <v>0.49306375498528798</v>
      </c>
      <c r="AQ26" s="4">
        <v>0.46968346175898001</v>
      </c>
      <c r="AR26" s="4">
        <v>8.8207312386196705E-4</v>
      </c>
      <c r="AS26" s="4">
        <v>2.8730381748647E-3</v>
      </c>
      <c r="AT26" s="4">
        <v>3.3497671957005197E-2</v>
      </c>
      <c r="AU26" s="4">
        <v>8.5271048667328403E-2</v>
      </c>
      <c r="AV26" s="4">
        <v>0.10588869105981701</v>
      </c>
      <c r="AW26" s="4">
        <v>6.6282104889245394E-2</v>
      </c>
      <c r="AX26" s="4">
        <v>0.109286191087764</v>
      </c>
      <c r="AY26" s="4">
        <v>8.7818031864245999E-2</v>
      </c>
      <c r="AZ26" s="4">
        <v>0.12905846479170699</v>
      </c>
      <c r="BA26" s="4">
        <v>7.9193152308951298E-2</v>
      </c>
      <c r="BB26" s="4">
        <v>5.4369422783537603E-2</v>
      </c>
      <c r="BC26" s="4">
        <v>0.102055921744323</v>
      </c>
      <c r="BD26" s="4">
        <v>9.5956268172790002E-2</v>
      </c>
      <c r="BE26" s="4">
        <v>9.0268555914636894E-2</v>
      </c>
      <c r="BF26" s="4">
        <v>0.101194677406977</v>
      </c>
      <c r="BG26" s="4">
        <v>0.100910606818576</v>
      </c>
      <c r="BH26" s="4">
        <v>0.11333689661641499</v>
      </c>
      <c r="BI26" s="4">
        <v>8.9465936576973396E-2</v>
      </c>
      <c r="BJ26" s="4">
        <v>7.4896900860380505E-2</v>
      </c>
      <c r="BK26" s="4">
        <v>6.2455762784457997E-2</v>
      </c>
      <c r="BL26" s="4">
        <v>8.6355246434612107E-2</v>
      </c>
      <c r="BM26" s="4">
        <v>3.1888022605968999E-2</v>
      </c>
      <c r="BN26" s="4">
        <v>3.1488897777431697E-2</v>
      </c>
      <c r="BO26" s="4">
        <v>3.2255618414706699E-2</v>
      </c>
      <c r="BP26" s="4">
        <v>5.8351755803727298E-2</v>
      </c>
      <c r="BQ26" s="4">
        <v>5.9532124412854701E-2</v>
      </c>
      <c r="BR26" s="4">
        <v>5.7264630868225502E-2</v>
      </c>
      <c r="BS26" s="4">
        <v>9.6876551646166598E-2</v>
      </c>
      <c r="BT26" s="4">
        <v>0.111395096120151</v>
      </c>
      <c r="BU26" s="4">
        <v>8.3504905193683407E-2</v>
      </c>
      <c r="BV26" s="4">
        <v>3.6324621187475203E-2</v>
      </c>
      <c r="BW26" s="4">
        <v>5.5641302462559002E-2</v>
      </c>
      <c r="BX26" s="4">
        <v>1.8533868601459499E-2</v>
      </c>
      <c r="BY26" s="4">
        <v>6.0988516957107199E-2</v>
      </c>
      <c r="BZ26" s="4">
        <v>6.2941832353430496E-2</v>
      </c>
      <c r="CA26" s="4">
        <v>5.9189504464041497E-2</v>
      </c>
      <c r="CB26" s="4">
        <v>6.0326356808029002E-2</v>
      </c>
      <c r="CC26" s="4">
        <v>6.8357055123517294E-2</v>
      </c>
      <c r="CD26" s="4">
        <v>5.2930046603953E-2</v>
      </c>
      <c r="CE26" s="4">
        <v>4.01436584427999E-2</v>
      </c>
      <c r="CF26" s="4">
        <v>3.5235796128292397E-2</v>
      </c>
      <c r="CG26" s="4">
        <v>4.4663822280480298E-2</v>
      </c>
      <c r="CH26" s="4">
        <v>1.7828566129854999E-2</v>
      </c>
      <c r="CI26" s="4">
        <v>2.38327711133372E-2</v>
      </c>
      <c r="CJ26" s="4">
        <v>1.22986656352686E-2</v>
      </c>
      <c r="CK26" s="4">
        <v>3.4169079296673198E-2</v>
      </c>
      <c r="CL26" s="4">
        <v>2.39011578310225E-2</v>
      </c>
      <c r="CM26" s="4">
        <v>4.3625882345117002E-2</v>
      </c>
      <c r="CN26" s="4">
        <v>1.1623797320954799E-2</v>
      </c>
      <c r="CO26" s="4">
        <v>9.8863407088573604E-3</v>
      </c>
      <c r="CP26" s="4">
        <v>1.32240028777258E-2</v>
      </c>
      <c r="CQ26" s="4">
        <v>5.9649058854527801E-3</v>
      </c>
      <c r="CR26" s="4">
        <v>3.6502649454357499E-3</v>
      </c>
      <c r="CS26" s="4">
        <v>8.0967008715005107E-3</v>
      </c>
      <c r="CT26" s="1">
        <f>Table1[[#This Row],[Female %]]*Table1[[#This Row],[NWS_pin]]</f>
        <v>45791.050418086757</v>
      </c>
      <c r="CU26" s="1">
        <f>Table1[[#This Row],[Male %]]*Table1[[#This Row],[NWS_pin]]</f>
        <v>49718.589581913235</v>
      </c>
      <c r="CV26" s="1">
        <f>Table1[[#This Row],[Female% (0-2)22]]+Table1[[#This Row],[Male%(0-2)3]]</f>
        <v>8144.2071606390091</v>
      </c>
      <c r="CW26" s="1">
        <f>$CT26*Table1[[#This Row],[Female% (0-2)]]</f>
        <v>4848.7543910252925</v>
      </c>
      <c r="CX26" s="1">
        <f>$CU26*Table1[[#This Row],[Male%(0-2)]]</f>
        <v>3295.4527696137161</v>
      </c>
      <c r="CY26" s="1">
        <f>Table1[[#This Row],[Female%  (3-5)5]]+Table1[[#This Row],[Male% (3-5)6]]</f>
        <v>14804.073451913344</v>
      </c>
      <c r="CZ26" s="1">
        <f>$AF26*Table1[[#This Row],[Female%  (3-5)]]</f>
        <v>8387.468608862664</v>
      </c>
      <c r="DA26" s="1">
        <f>$CU26*Table1[[#This Row],[Male% (3-5)]]</f>
        <v>6416.6048430506789</v>
      </c>
      <c r="DB26" s="1">
        <f>Table1[[#This Row],[Female% (6-8)8]]+Table1[[#This Row],[Male%(6-8)9]]</f>
        <v>7563.7094674930959</v>
      </c>
      <c r="DC26" s="1">
        <f>$CT26*Table1[[#This Row],[Female% (6-8)]]</f>
        <v>2489.6329798832453</v>
      </c>
      <c r="DD26" s="1">
        <f>$CU26*Table1[[#This Row],[Male%(6-8)]]</f>
        <v>5074.0764876098501</v>
      </c>
      <c r="DE26" s="1">
        <f>Table1[[#This Row],[Female% (9 - 11)11]]+Table1[[#This Row],[Male% (9 - 11)12]]</f>
        <v>9164.7486289266199</v>
      </c>
      <c r="DF26" s="1">
        <f>$CT26*Table1[[#This Row],[Female% (9 - 11)]]</f>
        <v>4133.491995055022</v>
      </c>
      <c r="DG26" s="1">
        <f>$CU26*Table1[[#This Row],[Male% (9 - 11)]]</f>
        <v>5031.2566338715978</v>
      </c>
      <c r="DH26" s="1">
        <f>Table1[[#This Row],[Female% (12-14)14]]+Table1[[#This Row],[Male%(12-14)15]]</f>
        <v>9637.9357294237652</v>
      </c>
      <c r="DI26" s="1">
        <f>$CT26*Table1[[#This Row],[Female% (12-14)]]</f>
        <v>5189.8155471917453</v>
      </c>
      <c r="DJ26" s="1">
        <f>$CU26*Table1[[#This Row],[Male%(12-14)]]</f>
        <v>4448.1201822320199</v>
      </c>
      <c r="DK26" s="1">
        <f>Table1[[#This Row],[Female% (15-17)17]]+Table1[[#This Row],[Male%(15-17)18]]</f>
        <v>7153.3760382906385</v>
      </c>
      <c r="DL26" s="1">
        <f>$CT26*Table1[[#This Row],[Female% (15-17)]]</f>
        <v>2859.9149825631825</v>
      </c>
      <c r="DM26" s="1">
        <f>$CU26*Table1[[#This Row],[Male%(15-17)]]</f>
        <v>4293.4610557274555</v>
      </c>
      <c r="DN26" s="1">
        <f>$AF26*Table1[[#This Row],[Total% (18-19)]]</f>
        <v>3045.613559407961</v>
      </c>
      <c r="DO26" s="1">
        <f>$CT26*Table1[[#This Row],[Female% (18-19)]]</f>
        <v>1441.9097057363549</v>
      </c>
      <c r="DP26" s="1">
        <f>$CU26*Table1[[#This Row],[Male%(18-19)]]</f>
        <v>1603.7038536716052</v>
      </c>
      <c r="DQ26" s="1">
        <f>$AF26*Table1[[#This Row],[Total% (20-24)]]</f>
        <v>5573.1551901819048</v>
      </c>
      <c r="DR26" s="1">
        <f>$CT26*Table1[[#This Row],[Female% (20-24)]]</f>
        <v>2726.0385104848433</v>
      </c>
      <c r="DS26" s="1">
        <f>$CU26*Table1[[#This Row],[Male% (20-24)]]</f>
        <v>2847.1166796970633</v>
      </c>
      <c r="DT26" s="1">
        <f>$AF26*Table1[[#This Row],[Total% (25-29)]]</f>
        <v>9252.6445721667787</v>
      </c>
      <c r="DU26" s="1">
        <f>$CT26*Table1[[#This Row],[Female% (25-29)]]</f>
        <v>5100.8984627654545</v>
      </c>
      <c r="DV26" s="1">
        <f>$CU26*Table1[[#This Row],[Male% (25-29)]]</f>
        <v>4151.7461094013206</v>
      </c>
      <c r="DW26" s="1">
        <f>$AF26*Table1[[#This Row],[Total%   (30-34)]]</f>
        <v>3469.3514927521292</v>
      </c>
      <c r="DX26" s="1">
        <f>$CT26*Table1[[#This Row],[Female%   (30-34)]]</f>
        <v>2547.873686391054</v>
      </c>
      <c r="DY26" s="1">
        <f>$CU26*Table1[[#This Row],[Male%  (30-34)]]</f>
        <v>921.47780636107302</v>
      </c>
      <c r="DZ26" s="1">
        <f>$AF26*Table1[[#This Row],[Total% (35-39)]]</f>
        <v>5824.9912987072039</v>
      </c>
      <c r="EA26" s="1">
        <f>$CT26*Table1[[#This Row],[Female% (35-39)]]</f>
        <v>2882.1726187027002</v>
      </c>
      <c r="EB26" s="1">
        <f>$CU26*Table1[[#This Row],[Male% (35-39)]]</f>
        <v>2942.8186800045005</v>
      </c>
      <c r="EC26" s="1">
        <f>$AF26*Table1[[#This Row],[Total% (40-44)]]</f>
        <v>5761.7486212463991</v>
      </c>
      <c r="ED26" s="1">
        <f>$CT26*Table1[[#This Row],[Female% (40-44)]]</f>
        <v>3130.1413575929159</v>
      </c>
      <c r="EE26" s="1">
        <f>$CU26*Table1[[#This Row],[Male%(55-59)]]</f>
        <v>2631.6072636534795</v>
      </c>
      <c r="EF26" s="1">
        <f>$AF26*Table1[[#This Row],[Total% (45-49)]]</f>
        <v>3834.1063661547792</v>
      </c>
      <c r="EG26" s="1">
        <f>$CT26*Table1[[#This Row],[Female% (45-49)]]</f>
        <v>1613.4841170320633</v>
      </c>
      <c r="EH26" s="1">
        <f>$CU26*Table1[[#This Row],[Male% (45-49)]]</f>
        <v>2220.6222491227118</v>
      </c>
      <c r="EI26" s="1">
        <f>$AF26*Table1[[#This Row],[Total% (50-54)]]</f>
        <v>1702.7999327786442</v>
      </c>
      <c r="EJ26" s="1">
        <f>$CT26*Table1[[#This Row],[Female%(50-54)]]</f>
        <v>1091.3276236535453</v>
      </c>
      <c r="EK26" s="1">
        <f>$CU26*Table1[[#This Row],[Male% (50-54)]]</f>
        <v>611.47230912509974</v>
      </c>
      <c r="EL26" s="1">
        <f>$AF26*Table1[[#This Row],[Total% (55-59)]]</f>
        <v>3263.4764627567101</v>
      </c>
      <c r="EM26" s="1">
        <f>$CT26*Table1[[#This Row],[Female% (55-59)]]</f>
        <v>1094.4591232910004</v>
      </c>
      <c r="EN26" s="1">
        <f>$CU26*Table1[[#This Row],[Male% (55-59)]]</f>
        <v>2169.0173394657068</v>
      </c>
      <c r="EO26" s="1">
        <f>$AF26*Table1[[#This Row],[Total% (60-64)]]</f>
        <v>1110.1846975573574</v>
      </c>
      <c r="EP26" s="1">
        <f>$CT26*Table1[[#This Row],[Female%(60-64)]]</f>
        <v>452.70592584967096</v>
      </c>
      <c r="EQ26" s="1">
        <f>$CU26*Table1[[#This Row],[Male%(60-64)]]</f>
        <v>657.47877170768857</v>
      </c>
      <c r="ER26" s="1">
        <f>$AF26*Table1[[#This Row],[Total% (&gt;=65)]]</f>
        <v>569.70601375347621</v>
      </c>
      <c r="ES26" s="1">
        <f>$CT26*Table1[[#This Row],[Female%(&gt;=65)]]</f>
        <v>167.14946615582312</v>
      </c>
      <c r="ET26" s="1">
        <f>$CU26*Table1[[#This Row],[Male% (&gt;=65)]]</f>
        <v>402.55654759765309</v>
      </c>
    </row>
    <row r="27" spans="1:150" hidden="1" x14ac:dyDescent="0.35">
      <c r="A27" t="s">
        <v>54</v>
      </c>
      <c r="B27" t="s">
        <v>55</v>
      </c>
      <c r="C27" t="s">
        <v>128</v>
      </c>
      <c r="D27" t="s">
        <v>129</v>
      </c>
      <c r="E27" t="s">
        <v>130</v>
      </c>
      <c r="F27" t="s">
        <v>131</v>
      </c>
      <c r="H27">
        <v>4</v>
      </c>
      <c r="I27" s="1">
        <v>0</v>
      </c>
      <c r="J27" s="1">
        <v>30974</v>
      </c>
      <c r="K27" s="1">
        <v>419</v>
      </c>
      <c r="L27" s="1">
        <v>10464</v>
      </c>
      <c r="M27" s="1">
        <v>0</v>
      </c>
      <c r="N27" s="1">
        <v>10883</v>
      </c>
      <c r="O27" s="3">
        <v>0.14000000000000001</v>
      </c>
      <c r="P27" s="3">
        <v>0</v>
      </c>
      <c r="Q27" s="3">
        <v>0.09</v>
      </c>
      <c r="R27" s="3">
        <v>0</v>
      </c>
      <c r="S27" s="3">
        <v>0.77</v>
      </c>
      <c r="T27" s="1">
        <v>41857</v>
      </c>
      <c r="U27" s="1">
        <v>0</v>
      </c>
      <c r="V27" s="10">
        <f>Table1[[#This Row],[Pop NW+RATAA]]*Table1[[#This Row],[Perc_pop_Northern_Aleppo]]</f>
        <v>0</v>
      </c>
      <c r="W27" s="10">
        <f>Table1[[#This Row],[Pop NW+RATAA]]*Table1[[#This Row],[Perc_pop_Afrin District]]</f>
        <v>0</v>
      </c>
      <c r="X27" s="10">
        <f>Table1[[#This Row],[Pop NW+RATAA]]*Table1[[#This Row],[Perc_pop_Euphrates Shiled]]</f>
        <v>0</v>
      </c>
      <c r="Y27" s="10">
        <f>Table1[[#This Row],[Pop NW+RATAA]]*Table1[[#This Row],[Perc_Pop_Idleb_NSAG]]</f>
        <v>0</v>
      </c>
      <c r="Z27" s="3">
        <v>0</v>
      </c>
      <c r="AA27" s="3">
        <v>0</v>
      </c>
      <c r="AB27" s="3">
        <v>0</v>
      </c>
      <c r="AC27" s="3">
        <v>0</v>
      </c>
      <c r="AD27" s="1">
        <v>1523.6200000000001</v>
      </c>
      <c r="AE27" s="1">
        <v>0</v>
      </c>
      <c r="AF27" s="1">
        <v>979.46999999999991</v>
      </c>
      <c r="AG27" s="1">
        <v>0</v>
      </c>
      <c r="AH27" s="1">
        <v>8379.91</v>
      </c>
      <c r="AI27" s="1">
        <f>Table1[[#This Row],[NWS_pin]]*Table1[[#This Row],[Perc_pop_Northern_Aleppo]]</f>
        <v>0</v>
      </c>
      <c r="AJ27" s="1">
        <f>Table1[[#This Row],[NWS_pin]]*Table1[[#This Row],[Perc_pop_Afrin District]]</f>
        <v>0</v>
      </c>
      <c r="AK27" s="1">
        <f>Table1[[#This Row],[NWS_pin]]*Table1[[#This Row],[Perc_pop_Euphrates Shiled]]</f>
        <v>0</v>
      </c>
      <c r="AL27" s="1">
        <f>Table1[[#This Row],[NWS_pin]]*Table1[[#This Row],[Perc_Pop_Idleb_NSAG]]</f>
        <v>0</v>
      </c>
      <c r="AM27" s="4">
        <v>0.49350132813851</v>
      </c>
      <c r="AN27" s="4">
        <v>0.50649867186149</v>
      </c>
      <c r="AO27" s="4">
        <v>0.204759600428606</v>
      </c>
      <c r="AP27" s="4">
        <v>0.41552220583280702</v>
      </c>
      <c r="AQ27" s="4">
        <v>0.53423537198440896</v>
      </c>
      <c r="AR27" s="4">
        <v>2.7303275897878399E-3</v>
      </c>
      <c r="AS27" s="4">
        <v>0</v>
      </c>
      <c r="AT27" s="4">
        <v>4.7512094592997003E-2</v>
      </c>
      <c r="AU27" s="4">
        <v>5.65972646795019E-2</v>
      </c>
      <c r="AV27" s="4">
        <v>4.75364711049596E-2</v>
      </c>
      <c r="AW27" s="4">
        <v>6.5425547775668294E-2</v>
      </c>
      <c r="AX27" s="4">
        <v>9.2363272563716001E-2</v>
      </c>
      <c r="AY27" s="4">
        <v>6.54394938302819E-2</v>
      </c>
      <c r="AZ27" s="4">
        <v>0.118596155889204</v>
      </c>
      <c r="BA27" s="4">
        <v>7.3915681342776998E-2</v>
      </c>
      <c r="BB27" s="4">
        <v>6.2070890700293799E-2</v>
      </c>
      <c r="BC27" s="4">
        <v>8.5456520911230099E-2</v>
      </c>
      <c r="BD27" s="4">
        <v>9.4920607094140103E-2</v>
      </c>
      <c r="BE27" s="4">
        <v>0.120244133124891</v>
      </c>
      <c r="BF27" s="4">
        <v>7.0246912129855593E-2</v>
      </c>
      <c r="BG27" s="4">
        <v>5.8311236607785297E-2</v>
      </c>
      <c r="BH27" s="4">
        <v>3.3771114264641501E-2</v>
      </c>
      <c r="BI27" s="4">
        <v>8.22216309322443E-2</v>
      </c>
      <c r="BJ27" s="4">
        <v>6.8396201993845898E-2</v>
      </c>
      <c r="BK27" s="4">
        <v>7.9761825933343397E-2</v>
      </c>
      <c r="BL27" s="4">
        <v>5.7322233154696201E-2</v>
      </c>
      <c r="BM27" s="4">
        <v>3.7254291371290903E-2</v>
      </c>
      <c r="BN27" s="4">
        <v>2.9883053732437499E-2</v>
      </c>
      <c r="BO27" s="4">
        <v>4.4436374497845502E-2</v>
      </c>
      <c r="BP27" s="4">
        <v>4.6215406239053798E-2</v>
      </c>
      <c r="BQ27" s="4">
        <v>6.3519507144793E-2</v>
      </c>
      <c r="BR27" s="4">
        <v>2.9355348644351301E-2</v>
      </c>
      <c r="BS27" s="4">
        <v>6.2616379566278205E-2</v>
      </c>
      <c r="BT27" s="4">
        <v>9.2425000375885594E-2</v>
      </c>
      <c r="BU27" s="4">
        <v>3.3572682560215103E-2</v>
      </c>
      <c r="BV27" s="4">
        <v>9.2436987069127993E-2</v>
      </c>
      <c r="BW27" s="4">
        <v>0.110095504988014</v>
      </c>
      <c r="BX27" s="4">
        <v>7.5231607213145202E-2</v>
      </c>
      <c r="BY27" s="4">
        <v>7.7260374940630899E-2</v>
      </c>
      <c r="BZ27" s="4">
        <v>6.2350772544286302E-2</v>
      </c>
      <c r="CA27" s="4">
        <v>9.1787379636558905E-2</v>
      </c>
      <c r="CB27" s="4">
        <v>6.0947541167204598E-2</v>
      </c>
      <c r="CC27" s="4">
        <v>6.4197389929702295E-2</v>
      </c>
      <c r="CD27" s="4">
        <v>5.7781087295474598E-2</v>
      </c>
      <c r="CE27" s="4">
        <v>4.9233148162356001E-2</v>
      </c>
      <c r="CF27" s="4">
        <v>5.21829689592423E-2</v>
      </c>
      <c r="CG27" s="4">
        <v>4.6359023190450703E-2</v>
      </c>
      <c r="CH27" s="4">
        <v>3.7063273314746001E-2</v>
      </c>
      <c r="CI27" s="4">
        <v>3.00157550028382E-2</v>
      </c>
      <c r="CJ27" s="4">
        <v>4.3929944127967899E-2</v>
      </c>
      <c r="CK27" s="4">
        <v>2.9682032392116801E-2</v>
      </c>
      <c r="CL27" s="4">
        <v>2.19191592081724E-2</v>
      </c>
      <c r="CM27" s="4">
        <v>3.7245701241173497E-2</v>
      </c>
      <c r="CN27" s="4">
        <v>2.5493969688247301E-2</v>
      </c>
      <c r="CO27" s="4">
        <v>2.12793077617895E-2</v>
      </c>
      <c r="CP27" s="4">
        <v>2.9600478498463E-2</v>
      </c>
      <c r="CQ27" s="4">
        <v>3.7292331807181299E-2</v>
      </c>
      <c r="CR27" s="4">
        <v>4.3307651394428603E-2</v>
      </c>
      <c r="CS27" s="4">
        <v>3.1431372301455401E-2</v>
      </c>
      <c r="CT27" s="1">
        <f>Table1[[#This Row],[Female %]]*Table1[[#This Row],[NWS_pin]]</f>
        <v>483.36974587182635</v>
      </c>
      <c r="CU27" s="1">
        <f>Table1[[#This Row],[Male %]]*Table1[[#This Row],[NWS_pin]]</f>
        <v>496.10025412817356</v>
      </c>
      <c r="CV27" s="1">
        <f>Table1[[#This Row],[Female% (0-2)22]]+Table1[[#This Row],[Male%(0-2)3]]</f>
        <v>55.435322835631737</v>
      </c>
      <c r="CW27" s="1">
        <f>$CT27*Table1[[#This Row],[Female% (0-2)]]</f>
        <v>22.977691957647739</v>
      </c>
      <c r="CX27" s="1">
        <f>$CU27*Table1[[#This Row],[Male%(0-2)]]</f>
        <v>32.457630877984002</v>
      </c>
      <c r="CY27" s="1">
        <f>Table1[[#This Row],[Female%  (3-5)5]]+Table1[[#This Row],[Male% (3-5)6]]</f>
        <v>122.9316040972048</v>
      </c>
      <c r="CZ27" s="1">
        <f>$AF27*Table1[[#This Row],[Female%  (3-5)]]</f>
        <v>64.096021021946214</v>
      </c>
      <c r="DA27" s="1">
        <f>$CU27*Table1[[#This Row],[Male% (3-5)]]</f>
        <v>58.83558307525859</v>
      </c>
      <c r="DB27" s="1">
        <f>Table1[[#This Row],[Female% (6-8)8]]+Table1[[#This Row],[Male%(6-8)9]]</f>
        <v>72.398192404809748</v>
      </c>
      <c r="DC27" s="1">
        <f>$CT27*Table1[[#This Row],[Female% (6-8)]]</f>
        <v>30.003190663838922</v>
      </c>
      <c r="DD27" s="1">
        <f>$CU27*Table1[[#This Row],[Male%(6-8)]]</f>
        <v>42.395001740970834</v>
      </c>
      <c r="DE27" s="1">
        <f>Table1[[#This Row],[Female% (9 - 11)11]]+Table1[[#This Row],[Male% (9 - 11)12]]</f>
        <v>92.97188703049747</v>
      </c>
      <c r="DF27" s="1">
        <f>$CT27*Table1[[#This Row],[Female% (9 - 11)]]</f>
        <v>58.122376071156623</v>
      </c>
      <c r="DG27" s="1">
        <f>$CU27*Table1[[#This Row],[Male% (9 - 11)]]</f>
        <v>34.84951095934084</v>
      </c>
      <c r="DH27" s="1">
        <f>Table1[[#This Row],[Female% (12-14)14]]+Table1[[#This Row],[Male%(12-14)15]]</f>
        <v>57.114106920227471</v>
      </c>
      <c r="DI27" s="1">
        <f>$CT27*Table1[[#This Row],[Female% (12-14)]]</f>
        <v>16.323934919908172</v>
      </c>
      <c r="DJ27" s="1">
        <f>$CU27*Table1[[#This Row],[Male%(12-14)]]</f>
        <v>40.790172000319295</v>
      </c>
      <c r="DK27" s="1">
        <f>Table1[[#This Row],[Female% (15-17)17]]+Table1[[#This Row],[Male%(15-17)18]]</f>
        <v>66.992027966912246</v>
      </c>
      <c r="DL27" s="1">
        <f>$CT27*Table1[[#This Row],[Female% (15-17)]]</f>
        <v>38.554453531673047</v>
      </c>
      <c r="DM27" s="1">
        <f>$CU27*Table1[[#This Row],[Male%(15-17)]]</f>
        <v>28.437574435239203</v>
      </c>
      <c r="DN27" s="1">
        <f>$AF27*Table1[[#This Row],[Total% (18-19)]]</f>
        <v>36.489460769438296</v>
      </c>
      <c r="DO27" s="1">
        <f>$CT27*Table1[[#This Row],[Female% (18-19)]]</f>
        <v>14.444564088522446</v>
      </c>
      <c r="DP27" s="1">
        <f>$CU27*Table1[[#This Row],[Male%(18-19)]]</f>
        <v>22.044896680915844</v>
      </c>
      <c r="DQ27" s="1">
        <f>$AF27*Table1[[#This Row],[Total% (20-24)]]</f>
        <v>45.266603948966022</v>
      </c>
      <c r="DR27" s="1">
        <f>$CT27*Table1[[#This Row],[Female% (20-24)]]</f>
        <v>30.703408026482251</v>
      </c>
      <c r="DS27" s="1">
        <f>$CU27*Table1[[#This Row],[Male% (20-24)]]</f>
        <v>14.563195922483816</v>
      </c>
      <c r="DT27" s="1">
        <f>$AF27*Table1[[#This Row],[Total% (25-29)]]</f>
        <v>61.330865293782509</v>
      </c>
      <c r="DU27" s="1">
        <f>$CT27*Table1[[#This Row],[Female% (25-29)]]</f>
        <v>44.675448943895276</v>
      </c>
      <c r="DV27" s="1">
        <f>$CU27*Table1[[#This Row],[Male% (25-29)]]</f>
        <v>16.655416349887211</v>
      </c>
      <c r="DW27" s="1">
        <f>$AF27*Table1[[#This Row],[Total%   (30-34)]]</f>
        <v>90.539255724598789</v>
      </c>
      <c r="DX27" s="1">
        <f>$CT27*Table1[[#This Row],[Female%   (30-34)]]</f>
        <v>53.216836267686716</v>
      </c>
      <c r="DY27" s="1">
        <f>$CU27*Table1[[#This Row],[Male%  (30-34)]]</f>
        <v>37.322419456912272</v>
      </c>
      <c r="DZ27" s="1">
        <f>$AF27*Table1[[#This Row],[Total% (35-39)]]</f>
        <v>75.674219443099744</v>
      </c>
      <c r="EA27" s="1">
        <f>$CT27*Table1[[#This Row],[Female% (35-39)]]</f>
        <v>30.138477079643717</v>
      </c>
      <c r="EB27" s="1">
        <f>$CU27*Table1[[#This Row],[Male% (35-39)]]</f>
        <v>45.535742363456016</v>
      </c>
      <c r="EC27" s="1">
        <f>$AF27*Table1[[#This Row],[Total% (40-44)]]</f>
        <v>59.696288147041884</v>
      </c>
      <c r="ED27" s="1">
        <f>$CT27*Table1[[#This Row],[Female% (40-44)]]</f>
        <v>31.031076055954742</v>
      </c>
      <c r="EE27" s="1">
        <f>$CU27*Table1[[#This Row],[Male%(55-59)]]</f>
        <v>28.665212091087128</v>
      </c>
      <c r="EF27" s="1">
        <f>$AF27*Table1[[#This Row],[Total% (45-49)]]</f>
        <v>48.222391630582827</v>
      </c>
      <c r="EG27" s="1">
        <f>$CT27*Table1[[#This Row],[Female% (45-49)]]</f>
        <v>25.223668444666352</v>
      </c>
      <c r="EH27" s="1">
        <f>$CU27*Table1[[#This Row],[Male% (45-49)]]</f>
        <v>22.998723185916486</v>
      </c>
      <c r="EI27" s="1">
        <f>$AF27*Table1[[#This Row],[Total% (50-54)]]</f>
        <v>36.302364313594261</v>
      </c>
      <c r="EJ27" s="1">
        <f>$CT27*Table1[[#This Row],[Female%(50-54)]]</f>
        <v>14.508707867872902</v>
      </c>
      <c r="EK27" s="1">
        <f>$CU27*Table1[[#This Row],[Male% (50-54)]]</f>
        <v>21.793656445721339</v>
      </c>
      <c r="EL27" s="1">
        <f>$AF27*Table1[[#This Row],[Total% (55-59)]]</f>
        <v>29.072660267106642</v>
      </c>
      <c r="EM27" s="1">
        <f>$CT27*Table1[[#This Row],[Female% (55-59)]]</f>
        <v>10.595058416178395</v>
      </c>
      <c r="EN27" s="1">
        <f>$CU27*Table1[[#This Row],[Male% (55-59)]]</f>
        <v>18.477601850928203</v>
      </c>
      <c r="EO27" s="1">
        <f>$AF27*Table1[[#This Row],[Total% (60-64)]]</f>
        <v>24.970578490547581</v>
      </c>
      <c r="EP27" s="1">
        <f>$CT27*Table1[[#This Row],[Female%(60-64)]]</f>
        <v>10.285773585144574</v>
      </c>
      <c r="EQ27" s="1">
        <f>$CU27*Table1[[#This Row],[Male%(60-64)]]</f>
        <v>14.684804905403031</v>
      </c>
      <c r="ER27" s="1">
        <f>$AF27*Table1[[#This Row],[Total% (&gt;=65)]]</f>
        <v>36.526720235179866</v>
      </c>
      <c r="ES27" s="1">
        <f>$CT27*Table1[[#This Row],[Female%(&gt;=65)]]</f>
        <v>20.933608448830601</v>
      </c>
      <c r="ET27" s="1">
        <f>$CU27*Table1[[#This Row],[Male% (&gt;=65)]]</f>
        <v>15.59311178634926</v>
      </c>
    </row>
    <row r="28" spans="1:150" x14ac:dyDescent="0.35">
      <c r="A28" t="s">
        <v>54</v>
      </c>
      <c r="B28" t="s">
        <v>55</v>
      </c>
      <c r="C28" t="s">
        <v>128</v>
      </c>
      <c r="D28" t="s">
        <v>129</v>
      </c>
      <c r="E28" t="s">
        <v>314</v>
      </c>
      <c r="F28" t="s">
        <v>315</v>
      </c>
      <c r="G28" t="s">
        <v>1143</v>
      </c>
      <c r="H28">
        <v>4</v>
      </c>
      <c r="I28" s="1">
        <v>0</v>
      </c>
      <c r="J28" s="1">
        <v>9991</v>
      </c>
      <c r="K28" s="1">
        <v>43531</v>
      </c>
      <c r="L28" s="1">
        <v>17841</v>
      </c>
      <c r="M28" s="1">
        <v>0</v>
      </c>
      <c r="N28" s="1">
        <v>61372</v>
      </c>
      <c r="O28" s="3">
        <v>0</v>
      </c>
      <c r="P28" s="3">
        <v>0</v>
      </c>
      <c r="Q28" s="3">
        <v>0.47</v>
      </c>
      <c r="R28" s="3">
        <v>0</v>
      </c>
      <c r="S28" s="3">
        <v>0.53</v>
      </c>
      <c r="T28" s="1">
        <v>71363</v>
      </c>
      <c r="U28" s="1">
        <v>48164.5</v>
      </c>
      <c r="V28" s="10">
        <f>Table1[[#This Row],[Pop NW+RATAA]]*Table1[[#This Row],[Perc_pop_Northern_Aleppo]]</f>
        <v>48164.5</v>
      </c>
      <c r="W28" s="10">
        <f>Table1[[#This Row],[Pop NW+RATAA]]*Table1[[#This Row],[Perc_pop_Afrin District]]</f>
        <v>0</v>
      </c>
      <c r="X28" s="10">
        <f>Table1[[#This Row],[Pop NW+RATAA]]*Table1[[#This Row],[Perc_pop_Euphrates Shiled]]</f>
        <v>48164.5</v>
      </c>
      <c r="Y28" s="10">
        <f>Table1[[#This Row],[Pop NW+RATAA]]*Table1[[#This Row],[Perc_Pop_Idleb_NSAG]]</f>
        <v>0</v>
      </c>
      <c r="Z28" s="3">
        <v>1</v>
      </c>
      <c r="AA28" s="3">
        <v>0</v>
      </c>
      <c r="AB28" s="3">
        <v>1</v>
      </c>
      <c r="AC28" s="3">
        <v>0</v>
      </c>
      <c r="AD28" s="1">
        <v>0</v>
      </c>
      <c r="AE28" s="1">
        <v>0</v>
      </c>
      <c r="AF28" s="1">
        <v>28844.84</v>
      </c>
      <c r="AG28" s="1">
        <v>0</v>
      </c>
      <c r="AH28" s="1">
        <v>32527.16</v>
      </c>
      <c r="AI28" s="1">
        <f>Table1[[#This Row],[NWS_pin]]*Table1[[#This Row],[Perc_pop_Northern_Aleppo]]</f>
        <v>28844.84</v>
      </c>
      <c r="AJ28" s="1">
        <f>Table1[[#This Row],[NWS_pin]]*Table1[[#This Row],[Perc_pop_Afrin District]]</f>
        <v>0</v>
      </c>
      <c r="AK28" s="1">
        <f>Table1[[#This Row],[NWS_pin]]*Table1[[#This Row],[Perc_pop_Euphrates Shiled]]</f>
        <v>28844.84</v>
      </c>
      <c r="AL28" s="1">
        <f>Table1[[#This Row],[NWS_pin]]*Table1[[#This Row],[Perc_Pop_Idleb_NSAG]]</f>
        <v>0</v>
      </c>
      <c r="AM28" s="4">
        <v>0.491666725872693</v>
      </c>
      <c r="AN28" s="4">
        <v>0.508333274127307</v>
      </c>
      <c r="AO28" s="4">
        <v>0.25455233806743</v>
      </c>
      <c r="AP28" s="4">
        <v>0.35638329178496603</v>
      </c>
      <c r="AQ28" s="4">
        <v>0.60201543207681196</v>
      </c>
      <c r="AR28" s="4">
        <v>7.0154161833840996E-3</v>
      </c>
      <c r="AS28" s="4">
        <v>1.0647884122170299E-3</v>
      </c>
      <c r="AT28" s="4">
        <v>3.3521071542620302E-2</v>
      </c>
      <c r="AU28" s="4">
        <v>7.7704061307492495E-2</v>
      </c>
      <c r="AV28" s="4">
        <v>5.6484708352806202E-2</v>
      </c>
      <c r="AW28" s="4">
        <v>9.82277026337042E-2</v>
      </c>
      <c r="AX28" s="4">
        <v>9.8404090495926605E-2</v>
      </c>
      <c r="AY28" s="4">
        <v>7.8534460130546893E-2</v>
      </c>
      <c r="AZ28" s="4">
        <v>0.117622262123228</v>
      </c>
      <c r="BA28" s="4">
        <v>8.9519193961888899E-2</v>
      </c>
      <c r="BB28" s="4">
        <v>9.97641055337396E-2</v>
      </c>
      <c r="BC28" s="4">
        <v>7.9610178782753505E-2</v>
      </c>
      <c r="BD28" s="4">
        <v>7.5937851207616106E-2</v>
      </c>
      <c r="BE28" s="4">
        <v>7.4376527597325395E-2</v>
      </c>
      <c r="BF28" s="4">
        <v>7.7447984237599896E-2</v>
      </c>
      <c r="BG28" s="4">
        <v>5.10730814626403E-2</v>
      </c>
      <c r="BH28" s="4">
        <v>4.3135795412298901E-2</v>
      </c>
      <c r="BI28" s="4">
        <v>5.8750130444700503E-2</v>
      </c>
      <c r="BJ28" s="4">
        <v>5.7270533072297403E-2</v>
      </c>
      <c r="BK28" s="4">
        <v>4.6603017788553698E-2</v>
      </c>
      <c r="BL28" s="4">
        <v>6.7588296200747702E-2</v>
      </c>
      <c r="BM28" s="4">
        <v>3.4422006080756899E-2</v>
      </c>
      <c r="BN28" s="4">
        <v>5.6934402480705297E-2</v>
      </c>
      <c r="BO28" s="4">
        <v>1.2647715880074999E-2</v>
      </c>
      <c r="BP28" s="4">
        <v>7.4826271060807206E-2</v>
      </c>
      <c r="BQ28" s="4">
        <v>9.3209984653555206E-2</v>
      </c>
      <c r="BR28" s="4">
        <v>5.7045297963885598E-2</v>
      </c>
      <c r="BS28" s="4">
        <v>0.10513500343988399</v>
      </c>
      <c r="BT28" s="4">
        <v>0.12067390911713401</v>
      </c>
      <c r="BU28" s="4">
        <v>9.0105566519599195E-2</v>
      </c>
      <c r="BV28" s="4">
        <v>7.65720147450734E-2</v>
      </c>
      <c r="BW28" s="4">
        <v>7.4103874460038896E-2</v>
      </c>
      <c r="BX28" s="4">
        <v>7.8959232963319595E-2</v>
      </c>
      <c r="BY28" s="4">
        <v>6.3383154616183907E-2</v>
      </c>
      <c r="BZ28" s="4">
        <v>5.0438249593111599E-2</v>
      </c>
      <c r="CA28" s="4">
        <v>7.59036394897218E-2</v>
      </c>
      <c r="CB28" s="4">
        <v>5.6924228412439701E-2</v>
      </c>
      <c r="CC28" s="4">
        <v>5.9598160224288002E-2</v>
      </c>
      <c r="CD28" s="4">
        <v>5.4337965883402402E-2</v>
      </c>
      <c r="CE28" s="4">
        <v>4.2080356124820202E-2</v>
      </c>
      <c r="CF28" s="4">
        <v>4.6014249424736399E-2</v>
      </c>
      <c r="CG28" s="4">
        <v>3.8275442031752302E-2</v>
      </c>
      <c r="CH28" s="4">
        <v>3.4945961634637403E-2</v>
      </c>
      <c r="CI28" s="4">
        <v>2.21821292699361E-2</v>
      </c>
      <c r="CJ28" s="4">
        <v>4.7291310616787499E-2</v>
      </c>
      <c r="CK28" s="4">
        <v>2.3452433925268301E-2</v>
      </c>
      <c r="CL28" s="4">
        <v>3.3874755051580697E-2</v>
      </c>
      <c r="CM28" s="4">
        <v>1.33718258577263E-2</v>
      </c>
      <c r="CN28" s="4">
        <v>1.51650724986128E-2</v>
      </c>
      <c r="CO28" s="4">
        <v>2.1735928127965602E-2</v>
      </c>
      <c r="CP28" s="4">
        <v>8.8096532532125505E-3</v>
      </c>
      <c r="CQ28" s="4">
        <v>2.3184685953654499E-2</v>
      </c>
      <c r="CR28" s="4">
        <v>2.2335742781677801E-2</v>
      </c>
      <c r="CS28" s="4">
        <v>2.4005795117783699E-2</v>
      </c>
      <c r="CT28" s="1">
        <f>Table1[[#This Row],[Female %]]*Table1[[#This Row],[NWS_pin]]</f>
        <v>14182.04804112169</v>
      </c>
      <c r="CU28" s="1">
        <f>Table1[[#This Row],[Male %]]*Table1[[#This Row],[NWS_pin]]</f>
        <v>14662.79195887831</v>
      </c>
      <c r="CV28" s="1">
        <f>Table1[[#This Row],[Female% (0-2)22]]+Table1[[#This Row],[Male%(0-2)3]]</f>
        <v>2241.3612157648131</v>
      </c>
      <c r="CW28" s="1">
        <f>$CT28*Table1[[#This Row],[Female% (0-2)]]</f>
        <v>801.06884744824515</v>
      </c>
      <c r="CX28" s="1">
        <f>$CU28*Table1[[#This Row],[Male%(0-2)]]</f>
        <v>1440.2923683165677</v>
      </c>
      <c r="CY28" s="1">
        <f>Table1[[#This Row],[Female%  (3-5)5]]+Table1[[#This Row],[Male% (3-5)6]]</f>
        <v>3989.9846961975481</v>
      </c>
      <c r="CZ28" s="1">
        <f>$AF28*Table1[[#This Row],[Female%  (3-5)]]</f>
        <v>2265.313936952004</v>
      </c>
      <c r="DA28" s="1">
        <f>$CU28*Table1[[#This Row],[Male% (3-5)]]</f>
        <v>1724.6707592455443</v>
      </c>
      <c r="DB28" s="1">
        <f>Table1[[#This Row],[Female% (6-8)8]]+Table1[[#This Row],[Male%(6-8)9]]</f>
        <v>2582.1668267596524</v>
      </c>
      <c r="DC28" s="1">
        <f>$CT28*Table1[[#This Row],[Female% (6-8)]]</f>
        <v>1414.8593374590293</v>
      </c>
      <c r="DD28" s="1">
        <f>$CU28*Table1[[#This Row],[Male%(6-8)]]</f>
        <v>1167.3074893006228</v>
      </c>
      <c r="DE28" s="1">
        <f>Table1[[#This Row],[Female% (9 - 11)11]]+Table1[[#This Row],[Male% (9 - 11)12]]</f>
        <v>2190.4151680274958</v>
      </c>
      <c r="DF28" s="1">
        <f>$CT28*Table1[[#This Row],[Female% (9 - 11)]]</f>
        <v>1054.811487517082</v>
      </c>
      <c r="DG28" s="1">
        <f>$CU28*Table1[[#This Row],[Male% (9 - 11)]]</f>
        <v>1135.6036805104138</v>
      </c>
      <c r="DH28" s="1">
        <f>Table1[[#This Row],[Female% (12-14)14]]+Table1[[#This Row],[Male%(12-14)15]]</f>
        <v>1473.1948630968259</v>
      </c>
      <c r="DI28" s="1">
        <f>$CT28*Table1[[#This Row],[Female% (12-14)]]</f>
        <v>611.75392282921962</v>
      </c>
      <c r="DJ28" s="1">
        <f>$CU28*Table1[[#This Row],[Male%(12-14)]]</f>
        <v>861.44094026760627</v>
      </c>
      <c r="DK28" s="1">
        <f>Table1[[#This Row],[Female% (15-17)17]]+Table1[[#This Row],[Male%(15-17)18]]</f>
        <v>1651.9593631851262</v>
      </c>
      <c r="DL28" s="1">
        <f>$CT28*Table1[[#This Row],[Female% (15-17)]]</f>
        <v>660.92623713851731</v>
      </c>
      <c r="DM28" s="1">
        <f>$CU28*Table1[[#This Row],[Male%(15-17)]]</f>
        <v>991.0331260466088</v>
      </c>
      <c r="DN28" s="1">
        <f>$AF28*Table1[[#This Row],[Total% (18-19)]]</f>
        <v>992.89725787845987</v>
      </c>
      <c r="DO28" s="1">
        <f>$CT28*Table1[[#This Row],[Female% (18-19)]]</f>
        <v>807.44643117392047</v>
      </c>
      <c r="DP28" s="1">
        <f>$CU28*Table1[[#This Row],[Male%(18-19)]]</f>
        <v>185.45082670454121</v>
      </c>
      <c r="DQ28" s="1">
        <f>$AF28*Table1[[#This Row],[Total% (20-24)]]</f>
        <v>2158.3518165456139</v>
      </c>
      <c r="DR28" s="1">
        <f>$CT28*Table1[[#This Row],[Female% (20-24)]]</f>
        <v>1321.9084802689354</v>
      </c>
      <c r="DS28" s="1">
        <f>$CU28*Table1[[#This Row],[Male% (20-24)]]</f>
        <v>836.44333627667902</v>
      </c>
      <c r="DT28" s="1">
        <f>$AF28*Table1[[#This Row],[Total% (25-29)]]</f>
        <v>3032.6023526229033</v>
      </c>
      <c r="DU28" s="1">
        <f>$CT28*Table1[[#This Row],[Female% (25-29)]]</f>
        <v>1711.4031764091471</v>
      </c>
      <c r="DV28" s="1">
        <f>$CU28*Table1[[#This Row],[Male% (25-29)]]</f>
        <v>1321.1991762137536</v>
      </c>
      <c r="DW28" s="1">
        <f>$AF28*Table1[[#This Row],[Total%   (30-34)]]</f>
        <v>2208.7075137992829</v>
      </c>
      <c r="DX28" s="1">
        <f>$CT28*Table1[[#This Row],[Female%   (30-34)]]</f>
        <v>1050.9447076255224</v>
      </c>
      <c r="DY28" s="1">
        <f>$CU28*Table1[[#This Row],[Male%  (30-34)]]</f>
        <v>1157.7628061737616</v>
      </c>
      <c r="DZ28" s="1">
        <f>$AF28*Table1[[#This Row],[Total% (35-39)]]</f>
        <v>1828.2769535990863</v>
      </c>
      <c r="EA28" s="1">
        <f>$CT28*Table1[[#This Row],[Female% (35-39)]]</f>
        <v>715.31767883959526</v>
      </c>
      <c r="EB28" s="1">
        <f>$CU28*Table1[[#This Row],[Male% (35-39)]]</f>
        <v>1112.9592747594909</v>
      </c>
      <c r="EC28" s="1">
        <f>$AF28*Table1[[#This Row],[Total% (40-44)]]</f>
        <v>1641.9702606802771</v>
      </c>
      <c r="ED28" s="1">
        <f>$CT28*Table1[[#This Row],[Female% (40-44)]]</f>
        <v>845.22397146332025</v>
      </c>
      <c r="EE28" s="1">
        <f>$CU28*Table1[[#This Row],[Male%(55-59)]]</f>
        <v>796.74628921695671</v>
      </c>
      <c r="EF28" s="1">
        <f>$AF28*Table1[[#This Row],[Total% (45-49)]]</f>
        <v>1213.8011395634587</v>
      </c>
      <c r="EG28" s="1">
        <f>$CT28*Table1[[#This Row],[Female% (45-49)]]</f>
        <v>652.57629591776777</v>
      </c>
      <c r="EH28" s="1">
        <f>$CU28*Table1[[#This Row],[Male% (45-49)]]</f>
        <v>561.2248436456905</v>
      </c>
      <c r="EI28" s="1">
        <f>$AF28*Table1[[#This Row],[Total% (50-54)]]</f>
        <v>1008.0106719972543</v>
      </c>
      <c r="EJ28" s="1">
        <f>$CT28*Table1[[#This Row],[Female%(50-54)]]</f>
        <v>314.58802296060537</v>
      </c>
      <c r="EK28" s="1">
        <f>$CU28*Table1[[#This Row],[Male% (50-54)]]</f>
        <v>693.42264903664818</v>
      </c>
      <c r="EL28" s="1">
        <f>$AF28*Table1[[#This Row],[Total% (55-59)]]</f>
        <v>676.48170418493612</v>
      </c>
      <c r="EM28" s="1">
        <f>$CT28*Table1[[#This Row],[Female% (55-59)]]</f>
        <v>480.4134035227471</v>
      </c>
      <c r="EN28" s="1">
        <f>$CU28*Table1[[#This Row],[Male% (55-59)]]</f>
        <v>196.06830066219024</v>
      </c>
      <c r="EO28" s="1">
        <f>$AF28*Table1[[#This Row],[Total% (60-64)]]</f>
        <v>437.43408981088646</v>
      </c>
      <c r="EP28" s="1">
        <f>$CT28*Table1[[#This Row],[Female%(60-64)]]</f>
        <v>308.25997692917639</v>
      </c>
      <c r="EQ28" s="1">
        <f>$CU28*Table1[[#This Row],[Male%(60-64)]]</f>
        <v>129.17411288171112</v>
      </c>
      <c r="ER28" s="1">
        <f>$AF28*Table1[[#This Row],[Total% (&gt;=65)]]</f>
        <v>668.75855678341145</v>
      </c>
      <c r="ES28" s="1">
        <f>$CT28*Table1[[#This Row],[Female%(&gt;=65)]]</f>
        <v>316.76657716389161</v>
      </c>
      <c r="ET28" s="1">
        <f>$CU28*Table1[[#This Row],[Male% (&gt;=65)]]</f>
        <v>351.99197961951899</v>
      </c>
    </row>
    <row r="29" spans="1:150" x14ac:dyDescent="0.35">
      <c r="A29" t="s">
        <v>54</v>
      </c>
      <c r="B29" t="s">
        <v>55</v>
      </c>
      <c r="C29" t="s">
        <v>128</v>
      </c>
      <c r="D29" t="s">
        <v>129</v>
      </c>
      <c r="E29" t="s">
        <v>401</v>
      </c>
      <c r="F29" t="s">
        <v>402</v>
      </c>
      <c r="G29" t="s">
        <v>1143</v>
      </c>
      <c r="H29">
        <v>3</v>
      </c>
      <c r="I29" s="1">
        <v>0</v>
      </c>
      <c r="J29" s="1">
        <v>11533</v>
      </c>
      <c r="K29" s="1">
        <v>36379</v>
      </c>
      <c r="L29" s="1">
        <v>458</v>
      </c>
      <c r="M29" s="1">
        <v>0</v>
      </c>
      <c r="N29" s="1">
        <v>36837</v>
      </c>
      <c r="O29" s="3">
        <v>0.74</v>
      </c>
      <c r="P29" s="3">
        <v>0</v>
      </c>
      <c r="Q29" s="3">
        <v>0</v>
      </c>
      <c r="R29" s="3">
        <v>0</v>
      </c>
      <c r="S29" s="3">
        <v>0.26</v>
      </c>
      <c r="T29" s="1">
        <v>48370</v>
      </c>
      <c r="U29" s="1">
        <v>0</v>
      </c>
      <c r="V29" s="10">
        <f>Table1[[#This Row],[Pop NW+RATAA]]*Table1[[#This Row],[Perc_pop_Northern_Aleppo]]</f>
        <v>0</v>
      </c>
      <c r="W29" s="10">
        <f>Table1[[#This Row],[Pop NW+RATAA]]*Table1[[#This Row],[Perc_pop_Afrin District]]</f>
        <v>0</v>
      </c>
      <c r="X29" s="10">
        <f>Table1[[#This Row],[Pop NW+RATAA]]*Table1[[#This Row],[Perc_pop_Euphrates Shiled]]</f>
        <v>0</v>
      </c>
      <c r="Y29" s="10">
        <f>Table1[[#This Row],[Pop NW+RATAA]]*Table1[[#This Row],[Perc_Pop_Idleb_NSAG]]</f>
        <v>0</v>
      </c>
      <c r="Z29" s="3">
        <v>0</v>
      </c>
      <c r="AA29" s="3">
        <v>0</v>
      </c>
      <c r="AB29" s="3">
        <v>0</v>
      </c>
      <c r="AC29" s="3">
        <v>0</v>
      </c>
      <c r="AD29" s="1">
        <v>27259.38</v>
      </c>
      <c r="AE29" s="1">
        <v>0</v>
      </c>
      <c r="AF29" s="1">
        <v>0</v>
      </c>
      <c r="AG29" s="1">
        <v>0</v>
      </c>
      <c r="AH29" s="1">
        <v>9577.6200000000008</v>
      </c>
      <c r="AI29" s="1">
        <f>Table1[[#This Row],[NWS_pin]]*Table1[[#This Row],[Perc_pop_Northern_Aleppo]]</f>
        <v>0</v>
      </c>
      <c r="AJ29" s="1">
        <f>Table1[[#This Row],[NWS_pin]]*Table1[[#This Row],[Perc_pop_Afrin District]]</f>
        <v>0</v>
      </c>
      <c r="AK29" s="1">
        <f>Table1[[#This Row],[NWS_pin]]*Table1[[#This Row],[Perc_pop_Euphrates Shiled]]</f>
        <v>0</v>
      </c>
      <c r="AL29" s="1">
        <f>Table1[[#This Row],[NWS_pin]]*Table1[[#This Row],[Perc_Pop_Idleb_NSAG]]</f>
        <v>0</v>
      </c>
      <c r="AM29" s="4">
        <v>0.47860856823931702</v>
      </c>
      <c r="AN29" s="4">
        <v>0.52139143176068303</v>
      </c>
      <c r="AO29" s="4">
        <v>0.166618181818182</v>
      </c>
      <c r="AP29" s="4">
        <v>0.34794926069944698</v>
      </c>
      <c r="AQ29" s="4">
        <v>0.59909794297935803</v>
      </c>
      <c r="AR29" s="4">
        <v>1.0373226489792199E-2</v>
      </c>
      <c r="AS29" s="4">
        <v>0</v>
      </c>
      <c r="AT29" s="4">
        <v>4.2579569831402903E-2</v>
      </c>
      <c r="AU29" s="4">
        <v>8.2191913947533696E-2</v>
      </c>
      <c r="AV29" s="4">
        <v>5.4921554896279597E-2</v>
      </c>
      <c r="AW29" s="4">
        <v>0.107224599001099</v>
      </c>
      <c r="AX29" s="4">
        <v>0.11978099529668799</v>
      </c>
      <c r="AY29" s="4">
        <v>9.2612814230036603E-2</v>
      </c>
      <c r="AZ29" s="4">
        <v>0.14471988659773299</v>
      </c>
      <c r="BA29" s="4">
        <v>8.2622355683249493E-2</v>
      </c>
      <c r="BB29" s="4">
        <v>4.8160403672838303E-2</v>
      </c>
      <c r="BC29" s="4">
        <v>0.114256526300011</v>
      </c>
      <c r="BD29" s="4">
        <v>7.3093878364598602E-2</v>
      </c>
      <c r="BE29" s="4">
        <v>5.8629548011919497E-2</v>
      </c>
      <c r="BF29" s="4">
        <v>8.6371335604850594E-2</v>
      </c>
      <c r="BG29" s="4">
        <v>5.0680144142472003E-2</v>
      </c>
      <c r="BH29" s="4">
        <v>7.4183371070973905E-2</v>
      </c>
      <c r="BI29" s="4">
        <v>2.9105478538037501E-2</v>
      </c>
      <c r="BJ29" s="4">
        <v>3.5504797015444803E-2</v>
      </c>
      <c r="BK29" s="4">
        <v>2.6472647746838201E-2</v>
      </c>
      <c r="BL29" s="4">
        <v>4.3795811723864E-2</v>
      </c>
      <c r="BM29" s="4">
        <v>1.27417763249039E-2</v>
      </c>
      <c r="BN29" s="4">
        <v>2.66225411964057E-2</v>
      </c>
      <c r="BO29" s="4">
        <v>0</v>
      </c>
      <c r="BP29" s="4">
        <v>5.2907909054752997E-2</v>
      </c>
      <c r="BQ29" s="4">
        <v>7.8238467205748397E-2</v>
      </c>
      <c r="BR29" s="4">
        <v>2.9655854205268499E-2</v>
      </c>
      <c r="BS29" s="4">
        <v>9.3566808831588105E-2</v>
      </c>
      <c r="BT29" s="4">
        <v>0.136868015217668</v>
      </c>
      <c r="BU29" s="4">
        <v>5.3818690375761299E-2</v>
      </c>
      <c r="BV29" s="4">
        <v>0.10696747868249799</v>
      </c>
      <c r="BW29" s="4">
        <v>0.110095580571695</v>
      </c>
      <c r="BX29" s="4">
        <v>0.104096053731306</v>
      </c>
      <c r="BY29" s="4">
        <v>7.98300834346964E-2</v>
      </c>
      <c r="BZ29" s="4">
        <v>9.4241970613505296E-2</v>
      </c>
      <c r="CA29" s="4">
        <v>6.6600766134671599E-2</v>
      </c>
      <c r="CB29" s="4">
        <v>5.1182326167473702E-2</v>
      </c>
      <c r="CC29" s="4">
        <v>5.3544869291946399E-2</v>
      </c>
      <c r="CD29" s="4">
        <v>4.9013641925024297E-2</v>
      </c>
      <c r="CE29" s="4">
        <v>5.3472416391024999E-2</v>
      </c>
      <c r="CF29" s="4">
        <v>4.2476151154595097E-2</v>
      </c>
      <c r="CG29" s="4">
        <v>6.3566381194042995E-2</v>
      </c>
      <c r="CH29" s="4">
        <v>3.0565915121912299E-2</v>
      </c>
      <c r="CI29" s="4">
        <v>2.6472647746838201E-2</v>
      </c>
      <c r="CJ29" s="4">
        <v>3.4323308739197797E-2</v>
      </c>
      <c r="CK29" s="4">
        <v>1.68291897250206E-2</v>
      </c>
      <c r="CL29" s="4">
        <v>1.94590257442613E-2</v>
      </c>
      <c r="CM29" s="4">
        <v>1.4415145352211001E-2</v>
      </c>
      <c r="CN29" s="4">
        <v>3.5012029968458702E-2</v>
      </c>
      <c r="CO29" s="4">
        <v>3.56124226015858E-2</v>
      </c>
      <c r="CP29" s="4">
        <v>3.4460902656005502E-2</v>
      </c>
      <c r="CQ29" s="4">
        <v>2.30499818476846E-2</v>
      </c>
      <c r="CR29" s="4">
        <v>2.13879690268651E-2</v>
      </c>
      <c r="CS29" s="4">
        <v>2.4575617920916001E-2</v>
      </c>
      <c r="CT29" s="1">
        <f>Table1[[#This Row],[Female %]]*Table1[[#This Row],[NWS_pin]]</f>
        <v>0</v>
      </c>
      <c r="CU29" s="1">
        <f>Table1[[#This Row],[Male %]]*Table1[[#This Row],[NWS_pin]]</f>
        <v>0</v>
      </c>
      <c r="CV29" s="1">
        <f>Table1[[#This Row],[Female% (0-2)22]]+Table1[[#This Row],[Male%(0-2)3]]</f>
        <v>0</v>
      </c>
      <c r="CW29" s="1">
        <f>$CT29*Table1[[#This Row],[Female% (0-2)]]</f>
        <v>0</v>
      </c>
      <c r="CX29" s="1">
        <f>$CU29*Table1[[#This Row],[Male%(0-2)]]</f>
        <v>0</v>
      </c>
      <c r="CY29" s="1">
        <f>Table1[[#This Row],[Female%  (3-5)5]]+Table1[[#This Row],[Male% (3-5)6]]</f>
        <v>0</v>
      </c>
      <c r="CZ29" s="1">
        <f>$AF29*Table1[[#This Row],[Female%  (3-5)]]</f>
        <v>0</v>
      </c>
      <c r="DA29" s="1">
        <f>$CU29*Table1[[#This Row],[Male% (3-5)]]</f>
        <v>0</v>
      </c>
      <c r="DB29" s="1">
        <f>Table1[[#This Row],[Female% (6-8)8]]+Table1[[#This Row],[Male%(6-8)9]]</f>
        <v>0</v>
      </c>
      <c r="DC29" s="1">
        <f>$CT29*Table1[[#This Row],[Female% (6-8)]]</f>
        <v>0</v>
      </c>
      <c r="DD29" s="1">
        <f>$CU29*Table1[[#This Row],[Male%(6-8)]]</f>
        <v>0</v>
      </c>
      <c r="DE29" s="1">
        <f>Table1[[#This Row],[Female% (9 - 11)11]]+Table1[[#This Row],[Male% (9 - 11)12]]</f>
        <v>0</v>
      </c>
      <c r="DF29" s="1">
        <f>$CT29*Table1[[#This Row],[Female% (9 - 11)]]</f>
        <v>0</v>
      </c>
      <c r="DG29" s="1">
        <f>$CU29*Table1[[#This Row],[Male% (9 - 11)]]</f>
        <v>0</v>
      </c>
      <c r="DH29" s="1">
        <f>Table1[[#This Row],[Female% (12-14)14]]+Table1[[#This Row],[Male%(12-14)15]]</f>
        <v>0</v>
      </c>
      <c r="DI29" s="1">
        <f>$CT29*Table1[[#This Row],[Female% (12-14)]]</f>
        <v>0</v>
      </c>
      <c r="DJ29" s="1">
        <f>$CU29*Table1[[#This Row],[Male%(12-14)]]</f>
        <v>0</v>
      </c>
      <c r="DK29" s="1">
        <f>Table1[[#This Row],[Female% (15-17)17]]+Table1[[#This Row],[Male%(15-17)18]]</f>
        <v>0</v>
      </c>
      <c r="DL29" s="1">
        <f>$CT29*Table1[[#This Row],[Female% (15-17)]]</f>
        <v>0</v>
      </c>
      <c r="DM29" s="1">
        <f>$CU29*Table1[[#This Row],[Male%(15-17)]]</f>
        <v>0</v>
      </c>
      <c r="DN29" s="1">
        <f>$AF29*Table1[[#This Row],[Total% (18-19)]]</f>
        <v>0</v>
      </c>
      <c r="DO29" s="1">
        <f>$CT29*Table1[[#This Row],[Female% (18-19)]]</f>
        <v>0</v>
      </c>
      <c r="DP29" s="1">
        <f>$CU29*Table1[[#This Row],[Male%(18-19)]]</f>
        <v>0</v>
      </c>
      <c r="DQ29" s="1">
        <f>$AF29*Table1[[#This Row],[Total% (20-24)]]</f>
        <v>0</v>
      </c>
      <c r="DR29" s="1">
        <f>$CT29*Table1[[#This Row],[Female% (20-24)]]</f>
        <v>0</v>
      </c>
      <c r="DS29" s="1">
        <f>$CU29*Table1[[#This Row],[Male% (20-24)]]</f>
        <v>0</v>
      </c>
      <c r="DT29" s="1">
        <f>$AF29*Table1[[#This Row],[Total% (25-29)]]</f>
        <v>0</v>
      </c>
      <c r="DU29" s="1">
        <f>$CT29*Table1[[#This Row],[Female% (25-29)]]</f>
        <v>0</v>
      </c>
      <c r="DV29" s="1">
        <f>$CU29*Table1[[#This Row],[Male% (25-29)]]</f>
        <v>0</v>
      </c>
      <c r="DW29" s="1">
        <f>$AF29*Table1[[#This Row],[Total%   (30-34)]]</f>
        <v>0</v>
      </c>
      <c r="DX29" s="1">
        <f>$CT29*Table1[[#This Row],[Female%   (30-34)]]</f>
        <v>0</v>
      </c>
      <c r="DY29" s="1">
        <f>$CU29*Table1[[#This Row],[Male%  (30-34)]]</f>
        <v>0</v>
      </c>
      <c r="DZ29" s="1">
        <f>$AF29*Table1[[#This Row],[Total% (35-39)]]</f>
        <v>0</v>
      </c>
      <c r="EA29" s="1">
        <f>$CT29*Table1[[#This Row],[Female% (35-39)]]</f>
        <v>0</v>
      </c>
      <c r="EB29" s="1">
        <f>$CU29*Table1[[#This Row],[Male% (35-39)]]</f>
        <v>0</v>
      </c>
      <c r="EC29" s="1">
        <f>$AF29*Table1[[#This Row],[Total% (40-44)]]</f>
        <v>0</v>
      </c>
      <c r="ED29" s="1">
        <f>$CT29*Table1[[#This Row],[Female% (40-44)]]</f>
        <v>0</v>
      </c>
      <c r="EE29" s="1">
        <f>$CU29*Table1[[#This Row],[Male%(55-59)]]</f>
        <v>0</v>
      </c>
      <c r="EF29" s="1">
        <f>$AF29*Table1[[#This Row],[Total% (45-49)]]</f>
        <v>0</v>
      </c>
      <c r="EG29" s="1">
        <f>$CT29*Table1[[#This Row],[Female% (45-49)]]</f>
        <v>0</v>
      </c>
      <c r="EH29" s="1">
        <f>$CU29*Table1[[#This Row],[Male% (45-49)]]</f>
        <v>0</v>
      </c>
      <c r="EI29" s="1">
        <f>$AF29*Table1[[#This Row],[Total% (50-54)]]</f>
        <v>0</v>
      </c>
      <c r="EJ29" s="1">
        <f>$CT29*Table1[[#This Row],[Female%(50-54)]]</f>
        <v>0</v>
      </c>
      <c r="EK29" s="1">
        <f>$CU29*Table1[[#This Row],[Male% (50-54)]]</f>
        <v>0</v>
      </c>
      <c r="EL29" s="1">
        <f>$AF29*Table1[[#This Row],[Total% (55-59)]]</f>
        <v>0</v>
      </c>
      <c r="EM29" s="1">
        <f>$CT29*Table1[[#This Row],[Female% (55-59)]]</f>
        <v>0</v>
      </c>
      <c r="EN29" s="1">
        <f>$CU29*Table1[[#This Row],[Male% (55-59)]]</f>
        <v>0</v>
      </c>
      <c r="EO29" s="1">
        <f>$AF29*Table1[[#This Row],[Total% (60-64)]]</f>
        <v>0</v>
      </c>
      <c r="EP29" s="1">
        <f>$CT29*Table1[[#This Row],[Female%(60-64)]]</f>
        <v>0</v>
      </c>
      <c r="EQ29" s="1">
        <f>$CU29*Table1[[#This Row],[Male%(60-64)]]</f>
        <v>0</v>
      </c>
      <c r="ER29" s="1">
        <f>$AF29*Table1[[#This Row],[Total% (&gt;=65)]]</f>
        <v>0</v>
      </c>
      <c r="ES29" s="1">
        <f>$CT29*Table1[[#This Row],[Female%(&gt;=65)]]</f>
        <v>0</v>
      </c>
      <c r="ET29" s="1">
        <f>$CU29*Table1[[#This Row],[Male% (&gt;=65)]]</f>
        <v>0</v>
      </c>
    </row>
    <row r="30" spans="1:150" x14ac:dyDescent="0.35">
      <c r="A30" t="s">
        <v>54</v>
      </c>
      <c r="B30" t="s">
        <v>55</v>
      </c>
      <c r="C30" t="s">
        <v>128</v>
      </c>
      <c r="D30" t="s">
        <v>129</v>
      </c>
      <c r="E30" t="s">
        <v>436</v>
      </c>
      <c r="F30" t="s">
        <v>478</v>
      </c>
      <c r="G30" t="s">
        <v>1143</v>
      </c>
      <c r="H30">
        <v>4</v>
      </c>
      <c r="I30" s="1">
        <v>0</v>
      </c>
      <c r="J30" s="1">
        <v>0</v>
      </c>
      <c r="K30" s="1">
        <v>56560</v>
      </c>
      <c r="L30" s="1">
        <v>40767</v>
      </c>
      <c r="M30" s="1">
        <v>0</v>
      </c>
      <c r="N30" s="1">
        <v>97327</v>
      </c>
      <c r="O30" s="3">
        <v>0</v>
      </c>
      <c r="P30" s="3">
        <v>0</v>
      </c>
      <c r="Q30" s="3">
        <v>1</v>
      </c>
      <c r="R30" s="3">
        <v>0</v>
      </c>
      <c r="S30" s="3">
        <v>0</v>
      </c>
      <c r="T30" s="1">
        <v>97327</v>
      </c>
      <c r="U30" s="1">
        <v>97327</v>
      </c>
      <c r="V30" s="10">
        <f>Table1[[#This Row],[Pop NW+RATAA]]*Table1[[#This Row],[Perc_pop_Northern_Aleppo]]</f>
        <v>97327</v>
      </c>
      <c r="W30" s="10">
        <f>Table1[[#This Row],[Pop NW+RATAA]]*Table1[[#This Row],[Perc_pop_Afrin District]]</f>
        <v>0</v>
      </c>
      <c r="X30" s="10">
        <f>Table1[[#This Row],[Pop NW+RATAA]]*Table1[[#This Row],[Perc_pop_Euphrates Shiled]]</f>
        <v>97327</v>
      </c>
      <c r="Y30" s="10">
        <f>Table1[[#This Row],[Pop NW+RATAA]]*Table1[[#This Row],[Perc_Pop_Idleb_NSAG]]</f>
        <v>0</v>
      </c>
      <c r="Z30" s="3">
        <v>1</v>
      </c>
      <c r="AA30" s="3">
        <v>0</v>
      </c>
      <c r="AB30" s="3">
        <v>1</v>
      </c>
      <c r="AC30" s="3">
        <v>0</v>
      </c>
      <c r="AD30" s="1">
        <v>0</v>
      </c>
      <c r="AE30" s="1">
        <v>0</v>
      </c>
      <c r="AF30" s="1">
        <v>97327</v>
      </c>
      <c r="AG30" s="1">
        <v>0</v>
      </c>
      <c r="AH30" s="1">
        <v>0</v>
      </c>
      <c r="AI30" s="1">
        <f>Table1[[#This Row],[NWS_pin]]*Table1[[#This Row],[Perc_pop_Northern_Aleppo]]</f>
        <v>97327</v>
      </c>
      <c r="AJ30" s="1">
        <f>Table1[[#This Row],[NWS_pin]]*Table1[[#This Row],[Perc_pop_Afrin District]]</f>
        <v>0</v>
      </c>
      <c r="AK30" s="1">
        <f>Table1[[#This Row],[NWS_pin]]*Table1[[#This Row],[Perc_pop_Euphrates Shiled]]</f>
        <v>97327</v>
      </c>
      <c r="AL30" s="1">
        <f>Table1[[#This Row],[NWS_pin]]*Table1[[#This Row],[Perc_Pop_Idleb_NSAG]]</f>
        <v>0</v>
      </c>
      <c r="AM30" s="4">
        <v>0.50440725052465596</v>
      </c>
      <c r="AN30" s="4">
        <v>0.49559274947534399</v>
      </c>
      <c r="AO30" s="4">
        <v>0.11915064122211</v>
      </c>
      <c r="AP30" s="4">
        <v>0.44323577570592798</v>
      </c>
      <c r="AQ30" s="4">
        <v>0.51699455710156905</v>
      </c>
      <c r="AR30" s="4">
        <v>4.8848502055583399E-3</v>
      </c>
      <c r="AS30" s="4">
        <v>0</v>
      </c>
      <c r="AT30" s="4">
        <v>3.4884816986944601E-2</v>
      </c>
      <c r="AU30" s="4">
        <v>8.6262044512854893E-2</v>
      </c>
      <c r="AV30" s="4">
        <v>0.106514112891331</v>
      </c>
      <c r="AW30" s="4">
        <v>6.5649777406367502E-2</v>
      </c>
      <c r="AX30" s="4">
        <v>0.12687890997703</v>
      </c>
      <c r="AY30" s="4">
        <v>0.114572186380459</v>
      </c>
      <c r="AZ30" s="4">
        <v>0.13940451818837801</v>
      </c>
      <c r="BA30" s="4">
        <v>0.125354844771147</v>
      </c>
      <c r="BB30" s="4">
        <v>9.9470839468373706E-2</v>
      </c>
      <c r="BC30" s="4">
        <v>0.15169921716392201</v>
      </c>
      <c r="BD30" s="4">
        <v>0.100393494314992</v>
      </c>
      <c r="BE30" s="4">
        <v>9.0509747024799803E-2</v>
      </c>
      <c r="BF30" s="4">
        <v>0.110453031708959</v>
      </c>
      <c r="BG30" s="4">
        <v>7.4729868453995693E-2</v>
      </c>
      <c r="BH30" s="4">
        <v>6.5653462820134095E-2</v>
      </c>
      <c r="BI30" s="4">
        <v>8.3967704994722697E-2</v>
      </c>
      <c r="BJ30" s="4">
        <v>5.8836997232228398E-2</v>
      </c>
      <c r="BK30" s="4">
        <v>6.2455820962516798E-2</v>
      </c>
      <c r="BL30" s="4">
        <v>5.5153809917925303E-2</v>
      </c>
      <c r="BM30" s="4">
        <v>1.5929742929851401E-2</v>
      </c>
      <c r="BN30" s="4">
        <v>2.65698305615139E-2</v>
      </c>
      <c r="BO30" s="4">
        <v>5.1004130954057604E-3</v>
      </c>
      <c r="BP30" s="4">
        <v>6.5290607369254697E-2</v>
      </c>
      <c r="BQ30" s="4">
        <v>8.8480238366360195E-2</v>
      </c>
      <c r="BR30" s="4">
        <v>4.1688530816854898E-2</v>
      </c>
      <c r="BS30" s="4">
        <v>7.7065641848886896E-2</v>
      </c>
      <c r="BT30" s="4">
        <v>8.4145244278547401E-2</v>
      </c>
      <c r="BU30" s="4">
        <v>6.986012320453E-2</v>
      </c>
      <c r="BV30" s="4">
        <v>6.2625687797506296E-2</v>
      </c>
      <c r="BW30" s="4">
        <v>6.5276270173483406E-2</v>
      </c>
      <c r="BX30" s="4">
        <v>5.9927962760222997E-2</v>
      </c>
      <c r="BY30" s="4">
        <v>5.8553304822211501E-2</v>
      </c>
      <c r="BZ30" s="4">
        <v>6.4766840563133393E-2</v>
      </c>
      <c r="CA30" s="4">
        <v>5.2229256533706303E-2</v>
      </c>
      <c r="CB30" s="4">
        <v>3.86651622686787E-2</v>
      </c>
      <c r="CC30" s="4">
        <v>1.97561109027793E-2</v>
      </c>
      <c r="CD30" s="4">
        <v>5.7910525764412003E-2</v>
      </c>
      <c r="CE30" s="4">
        <v>3.8719780613048503E-2</v>
      </c>
      <c r="CF30" s="4">
        <v>3.8581269007419899E-2</v>
      </c>
      <c r="CG30" s="4">
        <v>3.8860755754906197E-2</v>
      </c>
      <c r="CH30" s="4">
        <v>3.0848556250290898E-2</v>
      </c>
      <c r="CI30" s="4">
        <v>3.1452707602428298E-2</v>
      </c>
      <c r="CJ30" s="4">
        <v>3.0233659598241501E-2</v>
      </c>
      <c r="CK30" s="4">
        <v>1.4857620011700001E-2</v>
      </c>
      <c r="CL30" s="4">
        <v>1.33120601620213E-2</v>
      </c>
      <c r="CM30" s="4">
        <v>1.64306688408506E-2</v>
      </c>
      <c r="CN30" s="4">
        <v>1.16441926886742E-2</v>
      </c>
      <c r="CO30" s="4">
        <v>1.18238025985815E-2</v>
      </c>
      <c r="CP30" s="4">
        <v>1.1461388277352101E-2</v>
      </c>
      <c r="CQ30" s="4">
        <v>1.3343544137649301E-2</v>
      </c>
      <c r="CR30" s="4">
        <v>1.6659456236116799E-2</v>
      </c>
      <c r="CS30" s="4">
        <v>9.9686559732439298E-3</v>
      </c>
      <c r="CT30" s="1">
        <f>Table1[[#This Row],[Female %]]*Table1[[#This Row],[NWS_pin]]</f>
        <v>49092.444471813193</v>
      </c>
      <c r="CU30" s="1">
        <f>Table1[[#This Row],[Male %]]*Table1[[#This Row],[NWS_pin]]</f>
        <v>48234.555528186807</v>
      </c>
      <c r="CV30" s="1">
        <f>Table1[[#This Row],[Female% (0-2)22]]+Table1[[#This Row],[Male%(0-2)3]]</f>
        <v>8395.6260063026457</v>
      </c>
      <c r="CW30" s="1">
        <f>$CT30*Table1[[#This Row],[Female% (0-2)]]</f>
        <v>5229.0381725821089</v>
      </c>
      <c r="CX30" s="1">
        <f>$CU30*Table1[[#This Row],[Male%(0-2)]]</f>
        <v>3166.5878337205368</v>
      </c>
      <c r="CY30" s="1">
        <f>Table1[[#This Row],[Female%  (3-5)5]]+Table1[[#This Row],[Male% (3-5)6]]</f>
        <v>17875.08215728838</v>
      </c>
      <c r="CZ30" s="1">
        <f>$AF30*Table1[[#This Row],[Female%  (3-5)]]</f>
        <v>11150.967183850933</v>
      </c>
      <c r="DA30" s="1">
        <f>$CU30*Table1[[#This Row],[Male% (3-5)]]</f>
        <v>6724.1149734374467</v>
      </c>
      <c r="DB30" s="1">
        <f>Table1[[#This Row],[Female% (6-8)8]]+Table1[[#This Row],[Male%(6-8)9]]</f>
        <v>12200.410977041447</v>
      </c>
      <c r="DC30" s="1">
        <f>$CT30*Table1[[#This Row],[Female% (6-8)]]</f>
        <v>4883.2666631657803</v>
      </c>
      <c r="DD30" s="1">
        <f>$CU30*Table1[[#This Row],[Male%(6-8)]]</f>
        <v>7317.1443138756658</v>
      </c>
      <c r="DE30" s="1">
        <f>Table1[[#This Row],[Female% (9 - 11)11]]+Table1[[#This Row],[Male% (9 - 11)12]]</f>
        <v>9770.9976211952053</v>
      </c>
      <c r="DF30" s="1">
        <f>$CT30*Table1[[#This Row],[Female% (9 - 11)]]</f>
        <v>4443.3447299728432</v>
      </c>
      <c r="DG30" s="1">
        <f>$CU30*Table1[[#This Row],[Male% (9 - 11)]]</f>
        <v>5327.6528912223612</v>
      </c>
      <c r="DH30" s="1">
        <f>Table1[[#This Row],[Female% (12-14)14]]+Table1[[#This Row],[Male%(12-14)15]]</f>
        <v>7273.233907022046</v>
      </c>
      <c r="DI30" s="1">
        <f>$CT30*Table1[[#This Row],[Female% (12-14)]]</f>
        <v>3223.088977879685</v>
      </c>
      <c r="DJ30" s="1">
        <f>$CU30*Table1[[#This Row],[Male%(12-14)]]</f>
        <v>4050.1449291423605</v>
      </c>
      <c r="DK30" s="1">
        <f>Table1[[#This Row],[Female% (15-17)17]]+Table1[[#This Row],[Male%(15-17)18]]</f>
        <v>5726.4284296210899</v>
      </c>
      <c r="DL30" s="1">
        <f>$CT30*Table1[[#This Row],[Female% (15-17)]]</f>
        <v>3066.1089225438623</v>
      </c>
      <c r="DM30" s="1">
        <f>$CU30*Table1[[#This Row],[Male%(15-17)]]</f>
        <v>2660.3195070772281</v>
      </c>
      <c r="DN30" s="1">
        <f>$AF30*Table1[[#This Row],[Total% (18-19)]]</f>
        <v>1550.3940901336473</v>
      </c>
      <c r="DO30" s="1">
        <f>$CT30*Table1[[#This Row],[Female% (18-19)]]</f>
        <v>1304.3779314666062</v>
      </c>
      <c r="DP30" s="1">
        <f>$CU30*Table1[[#This Row],[Male%(18-19)]]</f>
        <v>246.01615866704032</v>
      </c>
      <c r="DQ30" s="1">
        <f>$AF30*Table1[[#This Row],[Total% (20-24)]]</f>
        <v>6354.5389434274521</v>
      </c>
      <c r="DR30" s="1">
        <f>$CT30*Table1[[#This Row],[Female% (20-24)]]</f>
        <v>4343.7111888533327</v>
      </c>
      <c r="DS30" s="1">
        <f>$CU30*Table1[[#This Row],[Male% (20-24)]]</f>
        <v>2010.8277545741146</v>
      </c>
      <c r="DT30" s="1">
        <f>$AF30*Table1[[#This Row],[Total% (25-29)]]</f>
        <v>7500.5677242266147</v>
      </c>
      <c r="DU30" s="1">
        <f>$CT30*Table1[[#This Row],[Female% (25-29)]]</f>
        <v>4130.8957323117447</v>
      </c>
      <c r="DV30" s="1">
        <f>$CU30*Table1[[#This Row],[Male% (25-29)]]</f>
        <v>3369.6719919148741</v>
      </c>
      <c r="DW30" s="1">
        <f>$AF30*Table1[[#This Row],[Total%   (30-34)]]</f>
        <v>6095.170316267895</v>
      </c>
      <c r="DX30" s="1">
        <f>$CT30*Table1[[#This Row],[Female%   (30-34)]]</f>
        <v>3204.5716688188099</v>
      </c>
      <c r="DY30" s="1">
        <f>$CU30*Table1[[#This Row],[Male%  (30-34)]]</f>
        <v>2890.5986474490874</v>
      </c>
      <c r="DZ30" s="1">
        <f>$AF30*Table1[[#This Row],[Total% (35-39)]]</f>
        <v>5698.8174984313791</v>
      </c>
      <c r="EA30" s="1">
        <f>$CT30*Table1[[#This Row],[Female% (35-39)]]</f>
        <v>3179.5625239604042</v>
      </c>
      <c r="EB30" s="1">
        <f>$CU30*Table1[[#This Row],[Male% (35-39)]]</f>
        <v>2519.2549744709704</v>
      </c>
      <c r="EC30" s="1">
        <f>$AF30*Table1[[#This Row],[Total% (40-44)]]</f>
        <v>3763.1642481236918</v>
      </c>
      <c r="ED30" s="1">
        <f>$CT30*Table1[[#This Row],[Female% (40-44)]]</f>
        <v>969.87577747367595</v>
      </c>
      <c r="EE30" s="1">
        <f>$CU30*Table1[[#This Row],[Male%(55-59)]]</f>
        <v>2793.2884706500236</v>
      </c>
      <c r="EF30" s="1">
        <f>$AF30*Table1[[#This Row],[Total% (45-49)]]</f>
        <v>3768.4800877261719</v>
      </c>
      <c r="EG30" s="1">
        <f>$CT30*Table1[[#This Row],[Female% (45-49)]]</f>
        <v>1894.0488063988487</v>
      </c>
      <c r="EH30" s="1">
        <f>$CU30*Table1[[#This Row],[Male% (45-49)]]</f>
        <v>1874.431281327328</v>
      </c>
      <c r="EI30" s="1">
        <f>$AF30*Table1[[#This Row],[Total% (50-54)]]</f>
        <v>3002.3974341720623</v>
      </c>
      <c r="EJ30" s="1">
        <f>$CT30*Table1[[#This Row],[Female%(50-54)]]</f>
        <v>1544.090301460388</v>
      </c>
      <c r="EK30" s="1">
        <f>$CU30*Table1[[#This Row],[Male% (50-54)]]</f>
        <v>1458.3071327116777</v>
      </c>
      <c r="EL30" s="1">
        <f>$AF30*Table1[[#This Row],[Total% (55-59)]]</f>
        <v>1446.047582878726</v>
      </c>
      <c r="EM30" s="1">
        <f>$CT30*Table1[[#This Row],[Female% (55-59)]]</f>
        <v>653.52157430946716</v>
      </c>
      <c r="EN30" s="1">
        <f>$CU30*Table1[[#This Row],[Male% (55-59)]]</f>
        <v>792.52600856925699</v>
      </c>
      <c r="EO30" s="1">
        <f>$AF30*Table1[[#This Row],[Total% (60-64)]]</f>
        <v>1133.294341810594</v>
      </c>
      <c r="EP30" s="1">
        <f>$CT30*Table1[[#This Row],[Female%(60-64)]]</f>
        <v>580.45937251654277</v>
      </c>
      <c r="EQ30" s="1">
        <f>$CU30*Table1[[#This Row],[Male%(60-64)]]</f>
        <v>552.83496929404919</v>
      </c>
      <c r="ER30" s="1">
        <f>$AF30*Table1[[#This Row],[Total% (&gt;=65)]]</f>
        <v>1298.6871202849934</v>
      </c>
      <c r="ES30" s="1">
        <f>$CT30*Table1[[#This Row],[Female%(&gt;=65)]]</f>
        <v>817.85343020216601</v>
      </c>
      <c r="ET30" s="1">
        <f>$CU30*Table1[[#This Row],[Male% (&gt;=65)]]</f>
        <v>480.83369008282546</v>
      </c>
    </row>
    <row r="31" spans="1:150" x14ac:dyDescent="0.35">
      <c r="A31" t="s">
        <v>54</v>
      </c>
      <c r="B31" t="s">
        <v>55</v>
      </c>
      <c r="C31" t="s">
        <v>356</v>
      </c>
      <c r="D31" t="s">
        <v>357</v>
      </c>
      <c r="E31" t="s">
        <v>356</v>
      </c>
      <c r="F31" t="s">
        <v>473</v>
      </c>
      <c r="G31" t="s">
        <v>1143</v>
      </c>
      <c r="H31">
        <v>3</v>
      </c>
      <c r="I31" s="1">
        <v>0</v>
      </c>
      <c r="J31" s="1">
        <v>4572</v>
      </c>
      <c r="K31" s="1">
        <v>259282</v>
      </c>
      <c r="L31" s="1">
        <v>41457</v>
      </c>
      <c r="M31" s="1">
        <v>0</v>
      </c>
      <c r="N31" s="1">
        <v>300739</v>
      </c>
      <c r="O31" s="3">
        <v>0.17</v>
      </c>
      <c r="P31" s="3">
        <v>0.78</v>
      </c>
      <c r="Q31" s="3">
        <v>0.05</v>
      </c>
      <c r="R31" s="3">
        <v>0</v>
      </c>
      <c r="S31" s="3">
        <v>0</v>
      </c>
      <c r="T31" s="1">
        <v>305311</v>
      </c>
      <c r="U31" s="1">
        <v>2190</v>
      </c>
      <c r="V31" s="10">
        <f>Table1[[#This Row],[Pop NW+RATAA]]*Table1[[#This Row],[Perc_pop_Northern_Aleppo]]</f>
        <v>2190</v>
      </c>
      <c r="W31" s="10">
        <f>Table1[[#This Row],[Pop NW+RATAA]]*Table1[[#This Row],[Perc_pop_Afrin District]]</f>
        <v>0</v>
      </c>
      <c r="X31" s="10">
        <f>Table1[[#This Row],[Pop NW+RATAA]]*Table1[[#This Row],[Perc_pop_Euphrates Shiled]]</f>
        <v>2190</v>
      </c>
      <c r="Y31" s="10">
        <f>Table1[[#This Row],[Pop NW+RATAA]]*Table1[[#This Row],[Perc_Pop_Idleb_NSAG]]</f>
        <v>0</v>
      </c>
      <c r="Z31" s="3">
        <v>1</v>
      </c>
      <c r="AA31" s="3">
        <v>0</v>
      </c>
      <c r="AB31" s="3">
        <v>1</v>
      </c>
      <c r="AC31" s="3">
        <v>0</v>
      </c>
      <c r="AD31" s="1">
        <v>51125.630000000005</v>
      </c>
      <c r="AE31" s="1">
        <v>234576.42</v>
      </c>
      <c r="AF31" s="1">
        <v>15036.95</v>
      </c>
      <c r="AG31" s="1">
        <v>0</v>
      </c>
      <c r="AH31" s="1">
        <v>0</v>
      </c>
      <c r="AI31" s="1">
        <f>Table1[[#This Row],[NWS_pin]]*Table1[[#This Row],[Perc_pop_Northern_Aleppo]]</f>
        <v>15036.95</v>
      </c>
      <c r="AJ31" s="1">
        <f>Table1[[#This Row],[NWS_pin]]*Table1[[#This Row],[Perc_pop_Afrin District]]</f>
        <v>0</v>
      </c>
      <c r="AK31" s="1">
        <f>Table1[[#This Row],[NWS_pin]]*Table1[[#This Row],[Perc_pop_Euphrates Shiled]]</f>
        <v>15036.95</v>
      </c>
      <c r="AL31" s="1">
        <f>Table1[[#This Row],[NWS_pin]]*Table1[[#This Row],[Perc_Pop_Idleb_NSAG]]</f>
        <v>0</v>
      </c>
      <c r="AM31" s="4">
        <v>0.46865126625081299</v>
      </c>
      <c r="AN31" s="4">
        <v>0.53134873374918701</v>
      </c>
      <c r="AO31" s="4">
        <v>0.281517995697394</v>
      </c>
      <c r="AP31" s="4">
        <v>0.480067675425429</v>
      </c>
      <c r="AQ31" s="4">
        <v>0.497436798470413</v>
      </c>
      <c r="AR31" s="4">
        <v>0</v>
      </c>
      <c r="AS31" s="4">
        <v>0</v>
      </c>
      <c r="AT31" s="4">
        <v>2.2495526104157899E-2</v>
      </c>
      <c r="AU31" s="4">
        <v>9.42865249749886E-2</v>
      </c>
      <c r="AV31" s="4">
        <v>9.2013819383467699E-2</v>
      </c>
      <c r="AW31" s="4">
        <v>9.6291058505662899E-2</v>
      </c>
      <c r="AX31" s="4">
        <v>0.132674922772403</v>
      </c>
      <c r="AY31" s="4">
        <v>0.102959792341666</v>
      </c>
      <c r="AZ31" s="4">
        <v>0.158883761937054</v>
      </c>
      <c r="BA31" s="4">
        <v>0.14300815865419</v>
      </c>
      <c r="BB31" s="4">
        <v>0.112286479939625</v>
      </c>
      <c r="BC31" s="4">
        <v>0.17010477659348699</v>
      </c>
      <c r="BD31" s="4">
        <v>0.10728627421837</v>
      </c>
      <c r="BE31" s="4">
        <v>0.13778935171168699</v>
      </c>
      <c r="BF31" s="4">
        <v>8.0382463248648006E-2</v>
      </c>
      <c r="BG31" s="4">
        <v>6.4484145962052306E-2</v>
      </c>
      <c r="BH31" s="4">
        <v>5.1797113966316602E-2</v>
      </c>
      <c r="BI31" s="4">
        <v>7.5674148369346397E-2</v>
      </c>
      <c r="BJ31" s="4">
        <v>6.3053454426979405E-2</v>
      </c>
      <c r="BK31" s="4">
        <v>4.4885712547534602E-2</v>
      </c>
      <c r="BL31" s="4">
        <v>7.9077460312234393E-2</v>
      </c>
      <c r="BM31" s="4">
        <v>2.31253288655855E-2</v>
      </c>
      <c r="BN31" s="4">
        <v>2.5677402110919501E-2</v>
      </c>
      <c r="BO31" s="4">
        <v>2.0874392179331701E-2</v>
      </c>
      <c r="BP31" s="4">
        <v>2.7087189955766901E-2</v>
      </c>
      <c r="BQ31" s="4">
        <v>3.7856129156440002E-2</v>
      </c>
      <c r="BR31" s="4">
        <v>1.75889514694101E-2</v>
      </c>
      <c r="BS31" s="4">
        <v>5.4618136664326702E-2</v>
      </c>
      <c r="BT31" s="4">
        <v>9.9921468471201202E-2</v>
      </c>
      <c r="BU31" s="4">
        <v>1.46604545092124E-2</v>
      </c>
      <c r="BV31" s="4">
        <v>5.9331165896085003E-2</v>
      </c>
      <c r="BW31" s="4">
        <v>8.8574645628613294E-2</v>
      </c>
      <c r="BX31" s="4">
        <v>3.3538324141241201E-2</v>
      </c>
      <c r="BY31" s="4">
        <v>9.1835747103654206E-2</v>
      </c>
      <c r="BZ31" s="4">
        <v>7.1006136771661704E-2</v>
      </c>
      <c r="CA31" s="4">
        <v>0.11020752939571</v>
      </c>
      <c r="CB31" s="4">
        <v>4.2502963024466003E-2</v>
      </c>
      <c r="CC31" s="4">
        <v>5.41172989200348E-2</v>
      </c>
      <c r="CD31" s="4">
        <v>3.2259081975358497E-2</v>
      </c>
      <c r="CE31" s="4">
        <v>2.97903603226711E-2</v>
      </c>
      <c r="CF31" s="4">
        <v>2.2437834074220599E-2</v>
      </c>
      <c r="CG31" s="4">
        <v>3.6275311763442203E-2</v>
      </c>
      <c r="CH31" s="4">
        <v>1.4390211551316799E-2</v>
      </c>
      <c r="CI31" s="4">
        <v>5.2758028146258403E-3</v>
      </c>
      <c r="CJ31" s="4">
        <v>2.24291489276011E-2</v>
      </c>
      <c r="CK31" s="4">
        <v>2.9066267619441599E-2</v>
      </c>
      <c r="CL31" s="4">
        <v>3.3182206681819197E-2</v>
      </c>
      <c r="CM31" s="4">
        <v>2.54359963289017E-2</v>
      </c>
      <c r="CN31" s="4">
        <v>1.7109607150079101E-2</v>
      </c>
      <c r="CO31" s="4">
        <v>1.63292722141859E-2</v>
      </c>
      <c r="CP31" s="4">
        <v>1.7797865035302E-2</v>
      </c>
      <c r="CQ31" s="4">
        <v>6.3495408376232597E-3</v>
      </c>
      <c r="CR31" s="4">
        <v>3.8895332659812502E-3</v>
      </c>
      <c r="CS31" s="4">
        <v>8.51927530805641E-3</v>
      </c>
      <c r="CT31" s="1">
        <f>Table1[[#This Row],[Female %]]*Table1[[#This Row],[NWS_pin]]</f>
        <v>7047.0856580501631</v>
      </c>
      <c r="CU31" s="1">
        <f>Table1[[#This Row],[Male %]]*Table1[[#This Row],[NWS_pin]]</f>
        <v>7989.8643419498376</v>
      </c>
      <c r="CV31" s="1">
        <f>Table1[[#This Row],[Female% (0-2)22]]+Table1[[#This Row],[Male%(0-2)3]]</f>
        <v>1417.7817617226549</v>
      </c>
      <c r="CW31" s="1">
        <f>$CT31*Table1[[#This Row],[Female% (0-2)]]</f>
        <v>648.42926691965329</v>
      </c>
      <c r="CX31" s="1">
        <f>$CU31*Table1[[#This Row],[Male%(0-2)]]</f>
        <v>769.3524948030016</v>
      </c>
      <c r="CY31" s="1">
        <f>Table1[[#This Row],[Female%  (3-5)5]]+Table1[[#This Row],[Male% (3-5)6]]</f>
        <v>2817.6609534677291</v>
      </c>
      <c r="CZ31" s="1">
        <f>$AF31*Table1[[#This Row],[Female%  (3-5)]]</f>
        <v>1548.2012494520145</v>
      </c>
      <c r="DA31" s="1">
        <f>$CU31*Table1[[#This Row],[Male% (3-5)]]</f>
        <v>1269.4597040157146</v>
      </c>
      <c r="DB31" s="1">
        <f>Table1[[#This Row],[Female% (6-8)8]]+Table1[[#This Row],[Male%(6-8)9]]</f>
        <v>2150.4065312751136</v>
      </c>
      <c r="DC31" s="1">
        <f>$CT31*Table1[[#This Row],[Female% (6-8)]]</f>
        <v>791.29244237546868</v>
      </c>
      <c r="DD31" s="1">
        <f>$CU31*Table1[[#This Row],[Male%(6-8)]]</f>
        <v>1359.1140888996451</v>
      </c>
      <c r="DE31" s="1">
        <f>Table1[[#This Row],[Female% (9 - 11)11]]+Table1[[#This Row],[Male% (9 - 11)12]]</f>
        <v>1613.2583411079249</v>
      </c>
      <c r="DF31" s="1">
        <f>$CT31*Table1[[#This Row],[Female% (9 - 11)]]</f>
        <v>971.0133642794591</v>
      </c>
      <c r="DG31" s="1">
        <f>$CU31*Table1[[#This Row],[Male% (9 - 11)]]</f>
        <v>642.24497682846595</v>
      </c>
      <c r="DH31" s="1">
        <f>Table1[[#This Row],[Female% (12-14)14]]+Table1[[#This Row],[Male%(12-14)15]]</f>
        <v>969.64487862408168</v>
      </c>
      <c r="DI31" s="1">
        <f>$CT31*Table1[[#This Row],[Female% (12-14)]]</f>
        <v>365.0186989604195</v>
      </c>
      <c r="DJ31" s="1">
        <f>$CU31*Table1[[#This Row],[Male%(12-14)]]</f>
        <v>604.62617966366224</v>
      </c>
      <c r="DK31" s="1">
        <f>Table1[[#This Row],[Female% (15-17)17]]+Table1[[#This Row],[Male%(15-17)18]]</f>
        <v>948.13164154576839</v>
      </c>
      <c r="DL31" s="1">
        <f>$CT31*Table1[[#This Row],[Female% (15-17)]]</f>
        <v>316.31346114509336</v>
      </c>
      <c r="DM31" s="1">
        <f>$CU31*Table1[[#This Row],[Male%(15-17)]]</f>
        <v>631.81818040067503</v>
      </c>
      <c r="DN31" s="1">
        <f>$AF31*Table1[[#This Row],[Total% (18-19)]]</f>
        <v>347.73441388536588</v>
      </c>
      <c r="DO31" s="1">
        <f>$CT31*Table1[[#This Row],[Female% (18-19)]]</f>
        <v>180.95085215184781</v>
      </c>
      <c r="DP31" s="1">
        <f>$CU31*Table1[[#This Row],[Male%(18-19)]]</f>
        <v>166.78356173351892</v>
      </c>
      <c r="DQ31" s="1">
        <f>$AF31*Table1[[#This Row],[Total% (20-24)]]</f>
        <v>407.30872100536914</v>
      </c>
      <c r="DR31" s="1">
        <f>$CT31*Table1[[#This Row],[Female% (20-24)]]</f>
        <v>266.77538484764295</v>
      </c>
      <c r="DS31" s="1">
        <f>$CU31*Table1[[#This Row],[Male% (20-24)]]</f>
        <v>140.53333615772596</v>
      </c>
      <c r="DT31" s="1">
        <f>$AF31*Table1[[#This Row],[Total% (25-29)]]</f>
        <v>821.29019011464743</v>
      </c>
      <c r="DU31" s="1">
        <f>$CT31*Table1[[#This Row],[Female% (25-29)]]</f>
        <v>704.15514739471359</v>
      </c>
      <c r="DV31" s="1">
        <f>$CU31*Table1[[#This Row],[Male% (25-29)]]</f>
        <v>117.13504271993386</v>
      </c>
      <c r="DW31" s="1">
        <f>$AF31*Table1[[#This Row],[Total%   (30-34)]]</f>
        <v>892.15977502113537</v>
      </c>
      <c r="DX31" s="1">
        <f>$CT31*Table1[[#This Row],[Female%   (30-34)]]</f>
        <v>624.19311487627635</v>
      </c>
      <c r="DY31" s="1">
        <f>$CU31*Table1[[#This Row],[Male%  (30-34)]]</f>
        <v>267.96666014485845</v>
      </c>
      <c r="DZ31" s="1">
        <f>$AF31*Table1[[#This Row],[Total% (35-39)]]</f>
        <v>1380.9295374102933</v>
      </c>
      <c r="EA31" s="1">
        <f>$CT31*Table1[[#This Row],[Female% (35-39)]]</f>
        <v>500.38632807712548</v>
      </c>
      <c r="EB31" s="1">
        <f>$CU31*Table1[[#This Row],[Male% (35-39)]]</f>
        <v>880.54320933317194</v>
      </c>
      <c r="EC31" s="1">
        <f>$AF31*Table1[[#This Row],[Total% (40-44)]]</f>
        <v>639.11492985074415</v>
      </c>
      <c r="ED31" s="1">
        <f>$CT31*Table1[[#This Row],[Female% (40-44)]]</f>
        <v>381.36924107179084</v>
      </c>
      <c r="EE31" s="1">
        <f>$CU31*Table1[[#This Row],[Male%(55-59)]]</f>
        <v>257.74568877895359</v>
      </c>
      <c r="EF31" s="1">
        <f>$AF31*Table1[[#This Row],[Total% (45-49)]]</f>
        <v>447.95615865398923</v>
      </c>
      <c r="EG31" s="1">
        <f>$CT31*Table1[[#This Row],[Female% (45-49)]]</f>
        <v>158.12133870214925</v>
      </c>
      <c r="EH31" s="1">
        <f>$CU31*Table1[[#This Row],[Male% (45-49)]]</f>
        <v>289.83481995184036</v>
      </c>
      <c r="EI31" s="1">
        <f>$AF31*Table1[[#This Row],[Total% (50-54)]]</f>
        <v>216.38489158657316</v>
      </c>
      <c r="EJ31" s="1">
        <f>$CT31*Table1[[#This Row],[Female%(50-54)]]</f>
        <v>37.179034349650443</v>
      </c>
      <c r="EK31" s="1">
        <f>$CU31*Table1[[#This Row],[Male% (50-54)]]</f>
        <v>179.20585723692247</v>
      </c>
      <c r="EL31" s="1">
        <f>$AF31*Table1[[#This Row],[Total% (55-59)]]</f>
        <v>437.06801288016237</v>
      </c>
      <c r="EM31" s="1">
        <f>$CT31*Table1[[#This Row],[Female% (55-59)]]</f>
        <v>233.83785280990435</v>
      </c>
      <c r="EN31" s="1">
        <f>$CU31*Table1[[#This Row],[Male% (55-59)]]</f>
        <v>203.23016007025868</v>
      </c>
      <c r="EO31" s="1">
        <f>$AF31*Table1[[#This Row],[Total% (60-64)]]</f>
        <v>257.27630723538192</v>
      </c>
      <c r="EP31" s="1">
        <f>$CT31*Table1[[#This Row],[Female%(60-64)]]</f>
        <v>115.0737800269865</v>
      </c>
      <c r="EQ31" s="1">
        <f>$CU31*Table1[[#This Row],[Male%(60-64)]]</f>
        <v>142.20252720839525</v>
      </c>
      <c r="ER31" s="1">
        <f>$AF31*Table1[[#This Row],[Total% (&gt;=65)]]</f>
        <v>95.477728098299082</v>
      </c>
      <c r="ES31" s="1">
        <f>$CT31*Table1[[#This Row],[Female%(&gt;=65)]]</f>
        <v>27.409874095205478</v>
      </c>
      <c r="ET31" s="1">
        <f>$CU31*Table1[[#This Row],[Male% (&gt;=65)]]</f>
        <v>68.067854003093629</v>
      </c>
    </row>
    <row r="32" spans="1:150" hidden="1" x14ac:dyDescent="0.35">
      <c r="A32" t="s">
        <v>54</v>
      </c>
      <c r="B32" t="s">
        <v>55</v>
      </c>
      <c r="C32" t="s">
        <v>356</v>
      </c>
      <c r="D32" t="s">
        <v>357</v>
      </c>
      <c r="E32" t="s">
        <v>358</v>
      </c>
      <c r="F32" t="s">
        <v>359</v>
      </c>
      <c r="H32">
        <v>4</v>
      </c>
      <c r="I32" s="1">
        <v>0</v>
      </c>
      <c r="J32" s="1">
        <v>7601</v>
      </c>
      <c r="K32" s="1">
        <v>31406</v>
      </c>
      <c r="L32" s="1">
        <v>19028</v>
      </c>
      <c r="M32" s="1">
        <v>0</v>
      </c>
      <c r="N32" s="1">
        <v>50434</v>
      </c>
      <c r="O32" s="3">
        <v>0</v>
      </c>
      <c r="P32" s="3">
        <v>1</v>
      </c>
      <c r="Q32" s="3">
        <v>0</v>
      </c>
      <c r="R32" s="3">
        <v>0</v>
      </c>
      <c r="S32" s="3">
        <v>0</v>
      </c>
      <c r="T32" s="1">
        <v>58035</v>
      </c>
      <c r="U32" s="1">
        <v>0</v>
      </c>
      <c r="V32" s="10">
        <f>Table1[[#This Row],[Pop NW+RATAA]]*Table1[[#This Row],[Perc_pop_Northern_Aleppo]]</f>
        <v>0</v>
      </c>
      <c r="W32" s="10">
        <f>Table1[[#This Row],[Pop NW+RATAA]]*Table1[[#This Row],[Perc_pop_Afrin District]]</f>
        <v>0</v>
      </c>
      <c r="X32" s="10">
        <f>Table1[[#This Row],[Pop NW+RATAA]]*Table1[[#This Row],[Perc_pop_Euphrates Shiled]]</f>
        <v>0</v>
      </c>
      <c r="Y32" s="10">
        <f>Table1[[#This Row],[Pop NW+RATAA]]*Table1[[#This Row],[Perc_Pop_Idleb_NSAG]]</f>
        <v>0</v>
      </c>
      <c r="Z32" s="3">
        <v>0</v>
      </c>
      <c r="AA32" s="3">
        <v>0</v>
      </c>
      <c r="AB32" s="3">
        <v>0</v>
      </c>
      <c r="AC32" s="3">
        <v>0</v>
      </c>
      <c r="AD32" s="1">
        <v>0</v>
      </c>
      <c r="AE32" s="1">
        <v>50434</v>
      </c>
      <c r="AF32" s="1">
        <v>0</v>
      </c>
      <c r="AG32" s="1">
        <v>0</v>
      </c>
      <c r="AH32" s="1">
        <v>0</v>
      </c>
      <c r="AI32" s="1">
        <f>Table1[[#This Row],[NWS_pin]]*Table1[[#This Row],[Perc_pop_Northern_Aleppo]]</f>
        <v>0</v>
      </c>
      <c r="AJ32" s="1">
        <f>Table1[[#This Row],[NWS_pin]]*Table1[[#This Row],[Perc_pop_Afrin District]]</f>
        <v>0</v>
      </c>
      <c r="AK32" s="1">
        <f>Table1[[#This Row],[NWS_pin]]*Table1[[#This Row],[Perc_pop_Euphrates Shiled]]</f>
        <v>0</v>
      </c>
      <c r="AL32" s="1">
        <f>Table1[[#This Row],[NWS_pin]]*Table1[[#This Row],[Perc_Pop_Idleb_NSAG]]</f>
        <v>0</v>
      </c>
      <c r="AM32" s="4">
        <v>0.49011996424534199</v>
      </c>
      <c r="AN32" s="4">
        <v>0.50988003575465801</v>
      </c>
      <c r="AO32" s="4">
        <v>0.38569020967108197</v>
      </c>
      <c r="AP32" s="4">
        <v>0.374465754290424</v>
      </c>
      <c r="AQ32" s="4">
        <v>0.56445577380372403</v>
      </c>
      <c r="AR32" s="4">
        <v>1.70932293326241E-2</v>
      </c>
      <c r="AS32" s="4">
        <v>0</v>
      </c>
      <c r="AT32" s="4">
        <v>4.3985242573227501E-2</v>
      </c>
      <c r="AU32" s="4">
        <v>6.3625452507770394E-2</v>
      </c>
      <c r="AV32" s="4">
        <v>6.9350761355049806E-2</v>
      </c>
      <c r="AW32" s="4">
        <v>5.8122024307509797E-2</v>
      </c>
      <c r="AX32" s="4">
        <v>0.13191219555703801</v>
      </c>
      <c r="AY32" s="4">
        <v>0.112231132280742</v>
      </c>
      <c r="AZ32" s="4">
        <v>0.15083053193592999</v>
      </c>
      <c r="BA32" s="4">
        <v>0.104789844436215</v>
      </c>
      <c r="BB32" s="4">
        <v>8.43919247704462E-2</v>
      </c>
      <c r="BC32" s="4">
        <v>0.124397255898146</v>
      </c>
      <c r="BD32" s="4">
        <v>9.8788723709952897E-2</v>
      </c>
      <c r="BE32" s="4">
        <v>7.6610239226499594E-2</v>
      </c>
      <c r="BF32" s="4">
        <v>0.120107695349934</v>
      </c>
      <c r="BG32" s="4">
        <v>7.8865778487872698E-2</v>
      </c>
      <c r="BH32" s="4">
        <v>6.83340388411737E-2</v>
      </c>
      <c r="BI32" s="4">
        <v>8.8989367365875094E-2</v>
      </c>
      <c r="BJ32" s="4">
        <v>2.9897021156131898E-2</v>
      </c>
      <c r="BK32" s="4">
        <v>2.2217562793494499E-2</v>
      </c>
      <c r="BL32" s="4">
        <v>3.7278867069256601E-2</v>
      </c>
      <c r="BM32" s="4">
        <v>9.7530330381570395E-3</v>
      </c>
      <c r="BN32" s="4">
        <v>1.65761374830381E-2</v>
      </c>
      <c r="BO32" s="4">
        <v>3.1943535997322799E-3</v>
      </c>
      <c r="BP32" s="4">
        <v>4.6579942877862199E-2</v>
      </c>
      <c r="BQ32" s="4">
        <v>6.6941485047849303E-2</v>
      </c>
      <c r="BR32" s="4">
        <v>2.7007499125355602E-2</v>
      </c>
      <c r="BS32" s="4">
        <v>0.116885156581746</v>
      </c>
      <c r="BT32" s="4">
        <v>0.149268315840695</v>
      </c>
      <c r="BU32" s="4">
        <v>8.5756985747098502E-2</v>
      </c>
      <c r="BV32" s="4">
        <v>0.108004661290541</v>
      </c>
      <c r="BW32" s="4">
        <v>0.12115218001922699</v>
      </c>
      <c r="BX32" s="4">
        <v>9.5366666159626398E-2</v>
      </c>
      <c r="BY32" s="4">
        <v>6.7286233099428605E-2</v>
      </c>
      <c r="BZ32" s="4">
        <v>6.78909535432978E-2</v>
      </c>
      <c r="CA32" s="4">
        <v>6.6704948205838097E-2</v>
      </c>
      <c r="CB32" s="4">
        <v>5.05587150039652E-2</v>
      </c>
      <c r="CC32" s="4">
        <v>3.7543566757525501E-2</v>
      </c>
      <c r="CD32" s="4">
        <v>6.3069469585190399E-2</v>
      </c>
      <c r="CE32" s="4">
        <v>1.8474532562139202E-2</v>
      </c>
      <c r="CF32" s="4">
        <v>1.7818358764583202E-2</v>
      </c>
      <c r="CG32" s="4">
        <v>1.9105276767922601E-2</v>
      </c>
      <c r="CH32" s="4">
        <v>1.2890290981643701E-2</v>
      </c>
      <c r="CI32" s="4">
        <v>1.0744818473492001E-2</v>
      </c>
      <c r="CJ32" s="4">
        <v>1.4952617088270601E-2</v>
      </c>
      <c r="CK32" s="4">
        <v>2.05957687736191E-2</v>
      </c>
      <c r="CL32" s="4">
        <v>2.5722683989191902E-2</v>
      </c>
      <c r="CM32" s="4">
        <v>1.5667543846306E-2</v>
      </c>
      <c r="CN32" s="4">
        <v>1.6609240756432098E-2</v>
      </c>
      <c r="CO32" s="4">
        <v>1.55633710878931E-2</v>
      </c>
      <c r="CP32" s="4">
        <v>1.7614578421380901E-2</v>
      </c>
      <c r="CQ32" s="4">
        <v>2.44834091794849E-2</v>
      </c>
      <c r="CR32" s="4">
        <v>3.7642469725801403E-2</v>
      </c>
      <c r="CS32" s="4">
        <v>1.18343195266272E-2</v>
      </c>
      <c r="CT32" s="1">
        <f>Table1[[#This Row],[Female %]]*Table1[[#This Row],[NWS_pin]]</f>
        <v>0</v>
      </c>
      <c r="CU32" s="1">
        <f>Table1[[#This Row],[Male %]]*Table1[[#This Row],[NWS_pin]]</f>
        <v>0</v>
      </c>
      <c r="CV32" s="1">
        <f>Table1[[#This Row],[Female% (0-2)22]]+Table1[[#This Row],[Male%(0-2)3]]</f>
        <v>0</v>
      </c>
      <c r="CW32" s="1">
        <f>$CT32*Table1[[#This Row],[Female% (0-2)]]</f>
        <v>0</v>
      </c>
      <c r="CX32" s="1">
        <f>$CU32*Table1[[#This Row],[Male%(0-2)]]</f>
        <v>0</v>
      </c>
      <c r="CY32" s="1">
        <f>Table1[[#This Row],[Female%  (3-5)5]]+Table1[[#This Row],[Male% (3-5)6]]</f>
        <v>0</v>
      </c>
      <c r="CZ32" s="1">
        <f>$AF32*Table1[[#This Row],[Female%  (3-5)]]</f>
        <v>0</v>
      </c>
      <c r="DA32" s="1">
        <f>$CU32*Table1[[#This Row],[Male% (3-5)]]</f>
        <v>0</v>
      </c>
      <c r="DB32" s="1">
        <f>Table1[[#This Row],[Female% (6-8)8]]+Table1[[#This Row],[Male%(6-8)9]]</f>
        <v>0</v>
      </c>
      <c r="DC32" s="1">
        <f>$CT32*Table1[[#This Row],[Female% (6-8)]]</f>
        <v>0</v>
      </c>
      <c r="DD32" s="1">
        <f>$CU32*Table1[[#This Row],[Male%(6-8)]]</f>
        <v>0</v>
      </c>
      <c r="DE32" s="1">
        <f>Table1[[#This Row],[Female% (9 - 11)11]]+Table1[[#This Row],[Male% (9 - 11)12]]</f>
        <v>0</v>
      </c>
      <c r="DF32" s="1">
        <f>$CT32*Table1[[#This Row],[Female% (9 - 11)]]</f>
        <v>0</v>
      </c>
      <c r="DG32" s="1">
        <f>$CU32*Table1[[#This Row],[Male% (9 - 11)]]</f>
        <v>0</v>
      </c>
      <c r="DH32" s="1">
        <f>Table1[[#This Row],[Female% (12-14)14]]+Table1[[#This Row],[Male%(12-14)15]]</f>
        <v>0</v>
      </c>
      <c r="DI32" s="1">
        <f>$CT32*Table1[[#This Row],[Female% (12-14)]]</f>
        <v>0</v>
      </c>
      <c r="DJ32" s="1">
        <f>$CU32*Table1[[#This Row],[Male%(12-14)]]</f>
        <v>0</v>
      </c>
      <c r="DK32" s="1">
        <f>Table1[[#This Row],[Female% (15-17)17]]+Table1[[#This Row],[Male%(15-17)18]]</f>
        <v>0</v>
      </c>
      <c r="DL32" s="1">
        <f>$CT32*Table1[[#This Row],[Female% (15-17)]]</f>
        <v>0</v>
      </c>
      <c r="DM32" s="1">
        <f>$CU32*Table1[[#This Row],[Male%(15-17)]]</f>
        <v>0</v>
      </c>
      <c r="DN32" s="1">
        <f>$AF32*Table1[[#This Row],[Total% (18-19)]]</f>
        <v>0</v>
      </c>
      <c r="DO32" s="1">
        <f>$CT32*Table1[[#This Row],[Female% (18-19)]]</f>
        <v>0</v>
      </c>
      <c r="DP32" s="1">
        <f>$CU32*Table1[[#This Row],[Male%(18-19)]]</f>
        <v>0</v>
      </c>
      <c r="DQ32" s="1">
        <f>$AF32*Table1[[#This Row],[Total% (20-24)]]</f>
        <v>0</v>
      </c>
      <c r="DR32" s="1">
        <f>$CT32*Table1[[#This Row],[Female% (20-24)]]</f>
        <v>0</v>
      </c>
      <c r="DS32" s="1">
        <f>$CU32*Table1[[#This Row],[Male% (20-24)]]</f>
        <v>0</v>
      </c>
      <c r="DT32" s="1">
        <f>$AF32*Table1[[#This Row],[Total% (25-29)]]</f>
        <v>0</v>
      </c>
      <c r="DU32" s="1">
        <f>$CT32*Table1[[#This Row],[Female% (25-29)]]</f>
        <v>0</v>
      </c>
      <c r="DV32" s="1">
        <f>$CU32*Table1[[#This Row],[Male% (25-29)]]</f>
        <v>0</v>
      </c>
      <c r="DW32" s="1">
        <f>$AF32*Table1[[#This Row],[Total%   (30-34)]]</f>
        <v>0</v>
      </c>
      <c r="DX32" s="1">
        <f>$CT32*Table1[[#This Row],[Female%   (30-34)]]</f>
        <v>0</v>
      </c>
      <c r="DY32" s="1">
        <f>$CU32*Table1[[#This Row],[Male%  (30-34)]]</f>
        <v>0</v>
      </c>
      <c r="DZ32" s="1">
        <f>$AF32*Table1[[#This Row],[Total% (35-39)]]</f>
        <v>0</v>
      </c>
      <c r="EA32" s="1">
        <f>$CT32*Table1[[#This Row],[Female% (35-39)]]</f>
        <v>0</v>
      </c>
      <c r="EB32" s="1">
        <f>$CU32*Table1[[#This Row],[Male% (35-39)]]</f>
        <v>0</v>
      </c>
      <c r="EC32" s="1">
        <f>$AF32*Table1[[#This Row],[Total% (40-44)]]</f>
        <v>0</v>
      </c>
      <c r="ED32" s="1">
        <f>$CT32*Table1[[#This Row],[Female% (40-44)]]</f>
        <v>0</v>
      </c>
      <c r="EE32" s="1">
        <f>$CU32*Table1[[#This Row],[Male%(55-59)]]</f>
        <v>0</v>
      </c>
      <c r="EF32" s="1">
        <f>$AF32*Table1[[#This Row],[Total% (45-49)]]</f>
        <v>0</v>
      </c>
      <c r="EG32" s="1">
        <f>$CT32*Table1[[#This Row],[Female% (45-49)]]</f>
        <v>0</v>
      </c>
      <c r="EH32" s="1">
        <f>$CU32*Table1[[#This Row],[Male% (45-49)]]</f>
        <v>0</v>
      </c>
      <c r="EI32" s="1">
        <f>$AF32*Table1[[#This Row],[Total% (50-54)]]</f>
        <v>0</v>
      </c>
      <c r="EJ32" s="1">
        <f>$CT32*Table1[[#This Row],[Female%(50-54)]]</f>
        <v>0</v>
      </c>
      <c r="EK32" s="1">
        <f>$CU32*Table1[[#This Row],[Male% (50-54)]]</f>
        <v>0</v>
      </c>
      <c r="EL32" s="1">
        <f>$AF32*Table1[[#This Row],[Total% (55-59)]]</f>
        <v>0</v>
      </c>
      <c r="EM32" s="1">
        <f>$CT32*Table1[[#This Row],[Female% (55-59)]]</f>
        <v>0</v>
      </c>
      <c r="EN32" s="1">
        <f>$CU32*Table1[[#This Row],[Male% (55-59)]]</f>
        <v>0</v>
      </c>
      <c r="EO32" s="1">
        <f>$AF32*Table1[[#This Row],[Total% (60-64)]]</f>
        <v>0</v>
      </c>
      <c r="EP32" s="1">
        <f>$CT32*Table1[[#This Row],[Female%(60-64)]]</f>
        <v>0</v>
      </c>
      <c r="EQ32" s="1">
        <f>$CU32*Table1[[#This Row],[Male%(60-64)]]</f>
        <v>0</v>
      </c>
      <c r="ER32" s="1">
        <f>$AF32*Table1[[#This Row],[Total% (&gt;=65)]]</f>
        <v>0</v>
      </c>
      <c r="ES32" s="1">
        <f>$CT32*Table1[[#This Row],[Female%(&gt;=65)]]</f>
        <v>0</v>
      </c>
      <c r="ET32" s="1">
        <f>$CU32*Table1[[#This Row],[Male% (&gt;=65)]]</f>
        <v>0</v>
      </c>
    </row>
    <row r="33" spans="1:150" hidden="1" x14ac:dyDescent="0.35">
      <c r="A33" t="s">
        <v>54</v>
      </c>
      <c r="B33" t="s">
        <v>55</v>
      </c>
      <c r="C33" t="s">
        <v>356</v>
      </c>
      <c r="D33" t="s">
        <v>357</v>
      </c>
      <c r="E33" t="s">
        <v>407</v>
      </c>
      <c r="F33" t="s">
        <v>408</v>
      </c>
      <c r="H33">
        <v>3</v>
      </c>
      <c r="I33" s="1">
        <v>0</v>
      </c>
      <c r="J33" s="1">
        <v>0</v>
      </c>
      <c r="K33" s="1">
        <v>75752</v>
      </c>
      <c r="L33" s="1">
        <v>12382</v>
      </c>
      <c r="M33" s="1">
        <v>0</v>
      </c>
      <c r="N33" s="1">
        <v>88134</v>
      </c>
      <c r="O33" s="3">
        <v>0.93</v>
      </c>
      <c r="P33" s="3">
        <v>7.0000000000000007E-2</v>
      </c>
      <c r="Q33" s="3">
        <v>0</v>
      </c>
      <c r="R33" s="3">
        <v>0</v>
      </c>
      <c r="S33" s="3">
        <v>0</v>
      </c>
      <c r="T33" s="1">
        <v>88134</v>
      </c>
      <c r="U33" s="1">
        <v>0</v>
      </c>
      <c r="V33" s="10">
        <f>Table1[[#This Row],[Pop NW+RATAA]]*Table1[[#This Row],[Perc_pop_Northern_Aleppo]]</f>
        <v>0</v>
      </c>
      <c r="W33" s="10">
        <f>Table1[[#This Row],[Pop NW+RATAA]]*Table1[[#This Row],[Perc_pop_Afrin District]]</f>
        <v>0</v>
      </c>
      <c r="X33" s="10">
        <f>Table1[[#This Row],[Pop NW+RATAA]]*Table1[[#This Row],[Perc_pop_Euphrates Shiled]]</f>
        <v>0</v>
      </c>
      <c r="Y33" s="10">
        <f>Table1[[#This Row],[Pop NW+RATAA]]*Table1[[#This Row],[Perc_Pop_Idleb_NSAG]]</f>
        <v>0</v>
      </c>
      <c r="Z33" s="3">
        <v>0</v>
      </c>
      <c r="AA33" s="3">
        <v>0</v>
      </c>
      <c r="AB33" s="3">
        <v>0</v>
      </c>
      <c r="AC33" s="3">
        <v>0</v>
      </c>
      <c r="AD33" s="1">
        <v>81964.62000000001</v>
      </c>
      <c r="AE33" s="1">
        <v>6169.380000000001</v>
      </c>
      <c r="AF33" s="1">
        <v>0</v>
      </c>
      <c r="AG33" s="1">
        <v>0</v>
      </c>
      <c r="AH33" s="1">
        <v>0</v>
      </c>
      <c r="AI33" s="1">
        <f>Table1[[#This Row],[NWS_pin]]*Table1[[#This Row],[Perc_pop_Northern_Aleppo]]</f>
        <v>0</v>
      </c>
      <c r="AJ33" s="1">
        <f>Table1[[#This Row],[NWS_pin]]*Table1[[#This Row],[Perc_pop_Afrin District]]</f>
        <v>0</v>
      </c>
      <c r="AK33" s="1">
        <f>Table1[[#This Row],[NWS_pin]]*Table1[[#This Row],[Perc_pop_Euphrates Shiled]]</f>
        <v>0</v>
      </c>
      <c r="AL33" s="1">
        <f>Table1[[#This Row],[NWS_pin]]*Table1[[#This Row],[Perc_Pop_Idleb_NSAG]]</f>
        <v>0</v>
      </c>
      <c r="AM33" s="4">
        <v>0.48297967549163101</v>
      </c>
      <c r="AN33" s="4">
        <v>0.51702032450836899</v>
      </c>
      <c r="AO33" s="4">
        <v>0.24604471195184899</v>
      </c>
      <c r="AP33" s="4">
        <v>0.37461563530490199</v>
      </c>
      <c r="AQ33" s="4">
        <v>0.62538436469509795</v>
      </c>
      <c r="AR33" s="4">
        <v>0</v>
      </c>
      <c r="AS33" s="4">
        <v>0</v>
      </c>
      <c r="AT33" s="4">
        <v>0</v>
      </c>
      <c r="AU33" s="4">
        <v>6.5399328720058297E-2</v>
      </c>
      <c r="AV33" s="4">
        <v>8.4962662137644002E-2</v>
      </c>
      <c r="AW33" s="4">
        <v>4.71240463420496E-2</v>
      </c>
      <c r="AX33" s="4">
        <v>0.14457547348689301</v>
      </c>
      <c r="AY33" s="4">
        <v>0.111373371375836</v>
      </c>
      <c r="AZ33" s="4">
        <v>0.175591547213756</v>
      </c>
      <c r="BA33" s="4">
        <v>0.18009100142995599</v>
      </c>
      <c r="BB33" s="4">
        <v>0.134713461199305</v>
      </c>
      <c r="BC33" s="4">
        <v>0.22248088170409799</v>
      </c>
      <c r="BD33" s="4">
        <v>9.8843725259460294E-2</v>
      </c>
      <c r="BE33" s="4">
        <v>6.7809713400801594E-2</v>
      </c>
      <c r="BF33" s="4">
        <v>0.12783445592551501</v>
      </c>
      <c r="BG33" s="4">
        <v>5.2324363681339803E-2</v>
      </c>
      <c r="BH33" s="4">
        <v>2.8175530231468199E-2</v>
      </c>
      <c r="BI33" s="4">
        <v>7.4883236495887504E-2</v>
      </c>
      <c r="BJ33" s="4">
        <v>5.2366369726709799E-2</v>
      </c>
      <c r="BK33" s="4">
        <v>9.1710293943559507E-2</v>
      </c>
      <c r="BL33" s="4">
        <v>1.56128518279878E-2</v>
      </c>
      <c r="BM33" s="4">
        <v>0</v>
      </c>
      <c r="BN33" s="4">
        <v>0</v>
      </c>
      <c r="BO33" s="4">
        <v>0</v>
      </c>
      <c r="BP33" s="4">
        <v>1.2324690395026001E-2</v>
      </c>
      <c r="BQ33" s="4">
        <v>2.5518031131394E-2</v>
      </c>
      <c r="BR33" s="4">
        <v>0</v>
      </c>
      <c r="BS33" s="4">
        <v>0.108003376819314</v>
      </c>
      <c r="BT33" s="4">
        <v>0.20649613575471801</v>
      </c>
      <c r="BU33" s="4">
        <v>1.59953870093761E-2</v>
      </c>
      <c r="BV33" s="4">
        <v>8.9705076722291596E-2</v>
      </c>
      <c r="BW33" s="4">
        <v>8.4660673603544595E-2</v>
      </c>
      <c r="BX33" s="4">
        <v>9.4417356038695902E-2</v>
      </c>
      <c r="BY33" s="4">
        <v>3.8555715476719002E-2</v>
      </c>
      <c r="BZ33" s="4">
        <v>2.4159082727947001E-3</v>
      </c>
      <c r="CA33" s="4">
        <v>7.2316075617839398E-2</v>
      </c>
      <c r="CB33" s="4">
        <v>2.0200823901906601E-2</v>
      </c>
      <c r="CC33" s="4">
        <v>3.9409503699963502E-2</v>
      </c>
      <c r="CD33" s="4">
        <v>2.2568447279543002E-3</v>
      </c>
      <c r="CE33" s="4">
        <v>3.9416255989507799E-2</v>
      </c>
      <c r="CF33" s="4">
        <v>4.8542844925263902E-2</v>
      </c>
      <c r="CG33" s="4">
        <v>3.0890562213874401E-2</v>
      </c>
      <c r="CH33" s="4">
        <v>4.5884020141898803E-2</v>
      </c>
      <c r="CI33" s="4">
        <v>7.0346417087236005E-2</v>
      </c>
      <c r="CJ33" s="4">
        <v>2.3032228871137501E-2</v>
      </c>
      <c r="CK33" s="4">
        <v>4.4973305741584597E-2</v>
      </c>
      <c r="CL33" s="4">
        <v>3.8654532364715199E-3</v>
      </c>
      <c r="CM33" s="4">
        <v>8.3374614784815504E-2</v>
      </c>
      <c r="CN33" s="4">
        <v>7.3364725073350196E-3</v>
      </c>
      <c r="CO33" s="4">
        <v>0</v>
      </c>
      <c r="CP33" s="4">
        <v>1.4189911227012599E-2</v>
      </c>
      <c r="CQ33" s="4">
        <v>0</v>
      </c>
      <c r="CR33" s="4">
        <v>0</v>
      </c>
      <c r="CS33" s="4">
        <v>0</v>
      </c>
      <c r="CT33" s="1">
        <f>Table1[[#This Row],[Female %]]*Table1[[#This Row],[NWS_pin]]</f>
        <v>0</v>
      </c>
      <c r="CU33" s="1">
        <f>Table1[[#This Row],[Male %]]*Table1[[#This Row],[NWS_pin]]</f>
        <v>0</v>
      </c>
      <c r="CV33" s="1">
        <f>Table1[[#This Row],[Female% (0-2)22]]+Table1[[#This Row],[Male%(0-2)3]]</f>
        <v>0</v>
      </c>
      <c r="CW33" s="1">
        <f>$CT33*Table1[[#This Row],[Female% (0-2)]]</f>
        <v>0</v>
      </c>
      <c r="CX33" s="1">
        <f>$CU33*Table1[[#This Row],[Male%(0-2)]]</f>
        <v>0</v>
      </c>
      <c r="CY33" s="1">
        <f>Table1[[#This Row],[Female%  (3-5)5]]+Table1[[#This Row],[Male% (3-5)6]]</f>
        <v>0</v>
      </c>
      <c r="CZ33" s="1">
        <f>$AF33*Table1[[#This Row],[Female%  (3-5)]]</f>
        <v>0</v>
      </c>
      <c r="DA33" s="1">
        <f>$CU33*Table1[[#This Row],[Male% (3-5)]]</f>
        <v>0</v>
      </c>
      <c r="DB33" s="1">
        <f>Table1[[#This Row],[Female% (6-8)8]]+Table1[[#This Row],[Male%(6-8)9]]</f>
        <v>0</v>
      </c>
      <c r="DC33" s="1">
        <f>$CT33*Table1[[#This Row],[Female% (6-8)]]</f>
        <v>0</v>
      </c>
      <c r="DD33" s="1">
        <f>$CU33*Table1[[#This Row],[Male%(6-8)]]</f>
        <v>0</v>
      </c>
      <c r="DE33" s="1">
        <f>Table1[[#This Row],[Female% (9 - 11)11]]+Table1[[#This Row],[Male% (9 - 11)12]]</f>
        <v>0</v>
      </c>
      <c r="DF33" s="1">
        <f>$CT33*Table1[[#This Row],[Female% (9 - 11)]]</f>
        <v>0</v>
      </c>
      <c r="DG33" s="1">
        <f>$CU33*Table1[[#This Row],[Male% (9 - 11)]]</f>
        <v>0</v>
      </c>
      <c r="DH33" s="1">
        <f>Table1[[#This Row],[Female% (12-14)14]]+Table1[[#This Row],[Male%(12-14)15]]</f>
        <v>0</v>
      </c>
      <c r="DI33" s="1">
        <f>$CT33*Table1[[#This Row],[Female% (12-14)]]</f>
        <v>0</v>
      </c>
      <c r="DJ33" s="1">
        <f>$CU33*Table1[[#This Row],[Male%(12-14)]]</f>
        <v>0</v>
      </c>
      <c r="DK33" s="1">
        <f>Table1[[#This Row],[Female% (15-17)17]]+Table1[[#This Row],[Male%(15-17)18]]</f>
        <v>0</v>
      </c>
      <c r="DL33" s="1">
        <f>$CT33*Table1[[#This Row],[Female% (15-17)]]</f>
        <v>0</v>
      </c>
      <c r="DM33" s="1">
        <f>$CU33*Table1[[#This Row],[Male%(15-17)]]</f>
        <v>0</v>
      </c>
      <c r="DN33" s="1">
        <f>$AF33*Table1[[#This Row],[Total% (18-19)]]</f>
        <v>0</v>
      </c>
      <c r="DO33" s="1">
        <f>$CT33*Table1[[#This Row],[Female% (18-19)]]</f>
        <v>0</v>
      </c>
      <c r="DP33" s="1">
        <f>$CU33*Table1[[#This Row],[Male%(18-19)]]</f>
        <v>0</v>
      </c>
      <c r="DQ33" s="1">
        <f>$AF33*Table1[[#This Row],[Total% (20-24)]]</f>
        <v>0</v>
      </c>
      <c r="DR33" s="1">
        <f>$CT33*Table1[[#This Row],[Female% (20-24)]]</f>
        <v>0</v>
      </c>
      <c r="DS33" s="1">
        <f>$CU33*Table1[[#This Row],[Male% (20-24)]]</f>
        <v>0</v>
      </c>
      <c r="DT33" s="1">
        <f>$AF33*Table1[[#This Row],[Total% (25-29)]]</f>
        <v>0</v>
      </c>
      <c r="DU33" s="1">
        <f>$CT33*Table1[[#This Row],[Female% (25-29)]]</f>
        <v>0</v>
      </c>
      <c r="DV33" s="1">
        <f>$CU33*Table1[[#This Row],[Male% (25-29)]]</f>
        <v>0</v>
      </c>
      <c r="DW33" s="1">
        <f>$AF33*Table1[[#This Row],[Total%   (30-34)]]</f>
        <v>0</v>
      </c>
      <c r="DX33" s="1">
        <f>$CT33*Table1[[#This Row],[Female%   (30-34)]]</f>
        <v>0</v>
      </c>
      <c r="DY33" s="1">
        <f>$CU33*Table1[[#This Row],[Male%  (30-34)]]</f>
        <v>0</v>
      </c>
      <c r="DZ33" s="1">
        <f>$AF33*Table1[[#This Row],[Total% (35-39)]]</f>
        <v>0</v>
      </c>
      <c r="EA33" s="1">
        <f>$CT33*Table1[[#This Row],[Female% (35-39)]]</f>
        <v>0</v>
      </c>
      <c r="EB33" s="1">
        <f>$CU33*Table1[[#This Row],[Male% (35-39)]]</f>
        <v>0</v>
      </c>
      <c r="EC33" s="1">
        <f>$AF33*Table1[[#This Row],[Total% (40-44)]]</f>
        <v>0</v>
      </c>
      <c r="ED33" s="1">
        <f>$CT33*Table1[[#This Row],[Female% (40-44)]]</f>
        <v>0</v>
      </c>
      <c r="EE33" s="1">
        <f>$CU33*Table1[[#This Row],[Male%(55-59)]]</f>
        <v>0</v>
      </c>
      <c r="EF33" s="1">
        <f>$AF33*Table1[[#This Row],[Total% (45-49)]]</f>
        <v>0</v>
      </c>
      <c r="EG33" s="1">
        <f>$CT33*Table1[[#This Row],[Female% (45-49)]]</f>
        <v>0</v>
      </c>
      <c r="EH33" s="1">
        <f>$CU33*Table1[[#This Row],[Male% (45-49)]]</f>
        <v>0</v>
      </c>
      <c r="EI33" s="1">
        <f>$AF33*Table1[[#This Row],[Total% (50-54)]]</f>
        <v>0</v>
      </c>
      <c r="EJ33" s="1">
        <f>$CT33*Table1[[#This Row],[Female%(50-54)]]</f>
        <v>0</v>
      </c>
      <c r="EK33" s="1">
        <f>$CU33*Table1[[#This Row],[Male% (50-54)]]</f>
        <v>0</v>
      </c>
      <c r="EL33" s="1">
        <f>$AF33*Table1[[#This Row],[Total% (55-59)]]</f>
        <v>0</v>
      </c>
      <c r="EM33" s="1">
        <f>$CT33*Table1[[#This Row],[Female% (55-59)]]</f>
        <v>0</v>
      </c>
      <c r="EN33" s="1">
        <f>$CU33*Table1[[#This Row],[Male% (55-59)]]</f>
        <v>0</v>
      </c>
      <c r="EO33" s="1">
        <f>$AF33*Table1[[#This Row],[Total% (60-64)]]</f>
        <v>0</v>
      </c>
      <c r="EP33" s="1">
        <f>$CT33*Table1[[#This Row],[Female%(60-64)]]</f>
        <v>0</v>
      </c>
      <c r="EQ33" s="1">
        <f>$CU33*Table1[[#This Row],[Male%(60-64)]]</f>
        <v>0</v>
      </c>
      <c r="ER33" s="1">
        <f>$AF33*Table1[[#This Row],[Total% (&gt;=65)]]</f>
        <v>0</v>
      </c>
      <c r="ES33" s="1">
        <f>$CT33*Table1[[#This Row],[Female%(&gt;=65)]]</f>
        <v>0</v>
      </c>
      <c r="ET33" s="1">
        <f>$CU33*Table1[[#This Row],[Male% (&gt;=65)]]</f>
        <v>0</v>
      </c>
    </row>
    <row r="34" spans="1:150" hidden="1" x14ac:dyDescent="0.35">
      <c r="A34" t="s">
        <v>54</v>
      </c>
      <c r="B34" t="s">
        <v>55</v>
      </c>
      <c r="C34" t="s">
        <v>356</v>
      </c>
      <c r="D34" t="s">
        <v>357</v>
      </c>
      <c r="E34" t="s">
        <v>395</v>
      </c>
      <c r="F34" t="s">
        <v>396</v>
      </c>
      <c r="H34">
        <v>4</v>
      </c>
      <c r="I34" s="1">
        <v>0</v>
      </c>
      <c r="J34" s="1">
        <v>0</v>
      </c>
      <c r="K34" s="1">
        <v>29506</v>
      </c>
      <c r="L34" s="1">
        <v>9835</v>
      </c>
      <c r="M34" s="1">
        <v>0</v>
      </c>
      <c r="N34" s="1">
        <v>39341</v>
      </c>
      <c r="O34" s="3">
        <v>1</v>
      </c>
      <c r="P34" s="3">
        <v>0</v>
      </c>
      <c r="Q34" s="3">
        <v>0</v>
      </c>
      <c r="R34" s="3">
        <v>0</v>
      </c>
      <c r="S34" s="3">
        <v>0</v>
      </c>
      <c r="T34" s="1">
        <v>39341</v>
      </c>
      <c r="U34" s="1">
        <v>0</v>
      </c>
      <c r="V34" s="10">
        <f>Table1[[#This Row],[Pop NW+RATAA]]*Table1[[#This Row],[Perc_pop_Northern_Aleppo]]</f>
        <v>0</v>
      </c>
      <c r="W34" s="10">
        <f>Table1[[#This Row],[Pop NW+RATAA]]*Table1[[#This Row],[Perc_pop_Afrin District]]</f>
        <v>0</v>
      </c>
      <c r="X34" s="10">
        <f>Table1[[#This Row],[Pop NW+RATAA]]*Table1[[#This Row],[Perc_pop_Euphrates Shiled]]</f>
        <v>0</v>
      </c>
      <c r="Y34" s="10">
        <f>Table1[[#This Row],[Pop NW+RATAA]]*Table1[[#This Row],[Perc_Pop_Idleb_NSAG]]</f>
        <v>0</v>
      </c>
      <c r="Z34" s="3">
        <v>0</v>
      </c>
      <c r="AA34" s="3">
        <v>0</v>
      </c>
      <c r="AB34" s="3">
        <v>0</v>
      </c>
      <c r="AC34" s="3">
        <v>0</v>
      </c>
      <c r="AD34" s="1">
        <v>39341</v>
      </c>
      <c r="AE34" s="1">
        <v>0</v>
      </c>
      <c r="AF34" s="1">
        <v>0</v>
      </c>
      <c r="AG34" s="1">
        <v>0</v>
      </c>
      <c r="AH34" s="1">
        <v>0</v>
      </c>
      <c r="AI34" s="1">
        <f>Table1[[#This Row],[NWS_pin]]*Table1[[#This Row],[Perc_pop_Northern_Aleppo]]</f>
        <v>0</v>
      </c>
      <c r="AJ34" s="1">
        <f>Table1[[#This Row],[NWS_pin]]*Table1[[#This Row],[Perc_pop_Afrin District]]</f>
        <v>0</v>
      </c>
      <c r="AK34" s="1">
        <f>Table1[[#This Row],[NWS_pin]]*Table1[[#This Row],[Perc_pop_Euphrates Shiled]]</f>
        <v>0</v>
      </c>
      <c r="AL34" s="1">
        <f>Table1[[#This Row],[NWS_pin]]*Table1[[#This Row],[Perc_Pop_Idleb_NSAG]]</f>
        <v>0</v>
      </c>
      <c r="AM34" s="4">
        <v>0.48971681619233198</v>
      </c>
      <c r="AN34" s="4">
        <v>0.51028318380766802</v>
      </c>
      <c r="AO34" s="4">
        <v>0.229647394900657</v>
      </c>
      <c r="AP34" s="4">
        <v>0.413609683012999</v>
      </c>
      <c r="AQ34" s="4">
        <v>0.58639031698700095</v>
      </c>
      <c r="AR34" s="4">
        <v>0</v>
      </c>
      <c r="AS34" s="4">
        <v>0</v>
      </c>
      <c r="AT34" s="4">
        <v>0</v>
      </c>
      <c r="AU34" s="4">
        <v>6.1533142783832699E-2</v>
      </c>
      <c r="AV34" s="4">
        <v>7.6108188873598701E-2</v>
      </c>
      <c r="AW34" s="4">
        <v>4.7545526900282603E-2</v>
      </c>
      <c r="AX34" s="4">
        <v>0.13887183706227599</v>
      </c>
      <c r="AY34" s="4">
        <v>0.100576417378272</v>
      </c>
      <c r="AZ34" s="4">
        <v>0.17562380459226601</v>
      </c>
      <c r="BA34" s="4">
        <v>0.16601264727557</v>
      </c>
      <c r="BB34" s="4">
        <v>0.15401249399327199</v>
      </c>
      <c r="BC34" s="4">
        <v>0.17752914839829101</v>
      </c>
      <c r="BD34" s="4">
        <v>0.10801258909631201</v>
      </c>
      <c r="BE34" s="4">
        <v>0.10123211213675</v>
      </c>
      <c r="BF34" s="4">
        <v>0.11451978685290801</v>
      </c>
      <c r="BG34" s="4">
        <v>6.7004603620241604E-2</v>
      </c>
      <c r="BH34" s="4">
        <v>2.3900492799161701E-2</v>
      </c>
      <c r="BI34" s="4">
        <v>0.108371453608496</v>
      </c>
      <c r="BJ34" s="4">
        <v>4.1116698640395501E-2</v>
      </c>
      <c r="BK34" s="4">
        <v>4.0628705417896899E-2</v>
      </c>
      <c r="BL34" s="4">
        <v>4.1585023866130402E-2</v>
      </c>
      <c r="BM34" s="4">
        <v>4.7304211879906103E-3</v>
      </c>
      <c r="BN34" s="4">
        <v>9.6595032712390606E-3</v>
      </c>
      <c r="BO34" s="4">
        <v>0</v>
      </c>
      <c r="BP34" s="4">
        <v>1.0651279496137801E-3</v>
      </c>
      <c r="BQ34" s="4">
        <v>2.1749874915372698E-3</v>
      </c>
      <c r="BR34" s="4">
        <v>0</v>
      </c>
      <c r="BS34" s="4">
        <v>9.1685475473713404E-2</v>
      </c>
      <c r="BT34" s="4">
        <v>0.18722141540204901</v>
      </c>
      <c r="BU34" s="4">
        <v>0</v>
      </c>
      <c r="BV34" s="4">
        <v>7.8627402132045998E-2</v>
      </c>
      <c r="BW34" s="4">
        <v>9.6242815725403302E-2</v>
      </c>
      <c r="BX34" s="4">
        <v>6.1721957205408101E-2</v>
      </c>
      <c r="BY34" s="4">
        <v>4.2566891228656402E-2</v>
      </c>
      <c r="BZ34" s="4">
        <v>4.1946187336790296E-3</v>
      </c>
      <c r="CA34" s="4">
        <v>7.9392614106852694E-2</v>
      </c>
      <c r="CB34" s="4">
        <v>3.0424954724603302E-2</v>
      </c>
      <c r="CC34" s="4">
        <v>5.6845537049038497E-2</v>
      </c>
      <c r="CD34" s="4">
        <v>5.0692231064778104E-3</v>
      </c>
      <c r="CE34" s="4">
        <v>3.5229964704583602E-2</v>
      </c>
      <c r="CF34" s="4">
        <v>3.3453379036501897E-2</v>
      </c>
      <c r="CG34" s="4">
        <v>3.6934947162704103E-2</v>
      </c>
      <c r="CH34" s="4">
        <v>5.8632571135330901E-2</v>
      </c>
      <c r="CI34" s="4">
        <v>7.5436501560035701E-2</v>
      </c>
      <c r="CJ34" s="4">
        <v>4.2505903496199898E-2</v>
      </c>
      <c r="CK34" s="4">
        <v>4.7734775681667001E-2</v>
      </c>
      <c r="CL34" s="4">
        <v>3.8312831131564702E-2</v>
      </c>
      <c r="CM34" s="4">
        <v>5.6776979763304702E-2</v>
      </c>
      <c r="CN34" s="4">
        <v>2.6750897303167601E-2</v>
      </c>
      <c r="CO34" s="4">
        <v>0</v>
      </c>
      <c r="CP34" s="4">
        <v>5.2423630940678499E-2</v>
      </c>
      <c r="CQ34" s="4">
        <v>0</v>
      </c>
      <c r="CR34" s="4">
        <v>0</v>
      </c>
      <c r="CS34" s="4">
        <v>0</v>
      </c>
      <c r="CT34" s="1">
        <f>Table1[[#This Row],[Female %]]*Table1[[#This Row],[NWS_pin]]</f>
        <v>0</v>
      </c>
      <c r="CU34" s="1">
        <f>Table1[[#This Row],[Male %]]*Table1[[#This Row],[NWS_pin]]</f>
        <v>0</v>
      </c>
      <c r="CV34" s="1">
        <f>Table1[[#This Row],[Female% (0-2)22]]+Table1[[#This Row],[Male%(0-2)3]]</f>
        <v>0</v>
      </c>
      <c r="CW34" s="1">
        <f>$CT34*Table1[[#This Row],[Female% (0-2)]]</f>
        <v>0</v>
      </c>
      <c r="CX34" s="1">
        <f>$CU34*Table1[[#This Row],[Male%(0-2)]]</f>
        <v>0</v>
      </c>
      <c r="CY34" s="1">
        <f>Table1[[#This Row],[Female%  (3-5)5]]+Table1[[#This Row],[Male% (3-5)6]]</f>
        <v>0</v>
      </c>
      <c r="CZ34" s="1">
        <f>$AF34*Table1[[#This Row],[Female%  (3-5)]]</f>
        <v>0</v>
      </c>
      <c r="DA34" s="1">
        <f>$CU34*Table1[[#This Row],[Male% (3-5)]]</f>
        <v>0</v>
      </c>
      <c r="DB34" s="1">
        <f>Table1[[#This Row],[Female% (6-8)8]]+Table1[[#This Row],[Male%(6-8)9]]</f>
        <v>0</v>
      </c>
      <c r="DC34" s="1">
        <f>$CT34*Table1[[#This Row],[Female% (6-8)]]</f>
        <v>0</v>
      </c>
      <c r="DD34" s="1">
        <f>$CU34*Table1[[#This Row],[Male%(6-8)]]</f>
        <v>0</v>
      </c>
      <c r="DE34" s="1">
        <f>Table1[[#This Row],[Female% (9 - 11)11]]+Table1[[#This Row],[Male% (9 - 11)12]]</f>
        <v>0</v>
      </c>
      <c r="DF34" s="1">
        <f>$CT34*Table1[[#This Row],[Female% (9 - 11)]]</f>
        <v>0</v>
      </c>
      <c r="DG34" s="1">
        <f>$CU34*Table1[[#This Row],[Male% (9 - 11)]]</f>
        <v>0</v>
      </c>
      <c r="DH34" s="1">
        <f>Table1[[#This Row],[Female% (12-14)14]]+Table1[[#This Row],[Male%(12-14)15]]</f>
        <v>0</v>
      </c>
      <c r="DI34" s="1">
        <f>$CT34*Table1[[#This Row],[Female% (12-14)]]</f>
        <v>0</v>
      </c>
      <c r="DJ34" s="1">
        <f>$CU34*Table1[[#This Row],[Male%(12-14)]]</f>
        <v>0</v>
      </c>
      <c r="DK34" s="1">
        <f>Table1[[#This Row],[Female% (15-17)17]]+Table1[[#This Row],[Male%(15-17)18]]</f>
        <v>0</v>
      </c>
      <c r="DL34" s="1">
        <f>$CT34*Table1[[#This Row],[Female% (15-17)]]</f>
        <v>0</v>
      </c>
      <c r="DM34" s="1">
        <f>$CU34*Table1[[#This Row],[Male%(15-17)]]</f>
        <v>0</v>
      </c>
      <c r="DN34" s="1">
        <f>$AF34*Table1[[#This Row],[Total% (18-19)]]</f>
        <v>0</v>
      </c>
      <c r="DO34" s="1">
        <f>$CT34*Table1[[#This Row],[Female% (18-19)]]</f>
        <v>0</v>
      </c>
      <c r="DP34" s="1">
        <f>$CU34*Table1[[#This Row],[Male%(18-19)]]</f>
        <v>0</v>
      </c>
      <c r="DQ34" s="1">
        <f>$AF34*Table1[[#This Row],[Total% (20-24)]]</f>
        <v>0</v>
      </c>
      <c r="DR34" s="1">
        <f>$CT34*Table1[[#This Row],[Female% (20-24)]]</f>
        <v>0</v>
      </c>
      <c r="DS34" s="1">
        <f>$CU34*Table1[[#This Row],[Male% (20-24)]]</f>
        <v>0</v>
      </c>
      <c r="DT34" s="1">
        <f>$AF34*Table1[[#This Row],[Total% (25-29)]]</f>
        <v>0</v>
      </c>
      <c r="DU34" s="1">
        <f>$CT34*Table1[[#This Row],[Female% (25-29)]]</f>
        <v>0</v>
      </c>
      <c r="DV34" s="1">
        <f>$CU34*Table1[[#This Row],[Male% (25-29)]]</f>
        <v>0</v>
      </c>
      <c r="DW34" s="1">
        <f>$AF34*Table1[[#This Row],[Total%   (30-34)]]</f>
        <v>0</v>
      </c>
      <c r="DX34" s="1">
        <f>$CT34*Table1[[#This Row],[Female%   (30-34)]]</f>
        <v>0</v>
      </c>
      <c r="DY34" s="1">
        <f>$CU34*Table1[[#This Row],[Male%  (30-34)]]</f>
        <v>0</v>
      </c>
      <c r="DZ34" s="1">
        <f>$AF34*Table1[[#This Row],[Total% (35-39)]]</f>
        <v>0</v>
      </c>
      <c r="EA34" s="1">
        <f>$CT34*Table1[[#This Row],[Female% (35-39)]]</f>
        <v>0</v>
      </c>
      <c r="EB34" s="1">
        <f>$CU34*Table1[[#This Row],[Male% (35-39)]]</f>
        <v>0</v>
      </c>
      <c r="EC34" s="1">
        <f>$AF34*Table1[[#This Row],[Total% (40-44)]]</f>
        <v>0</v>
      </c>
      <c r="ED34" s="1">
        <f>$CT34*Table1[[#This Row],[Female% (40-44)]]</f>
        <v>0</v>
      </c>
      <c r="EE34" s="1">
        <f>$CU34*Table1[[#This Row],[Male%(55-59)]]</f>
        <v>0</v>
      </c>
      <c r="EF34" s="1">
        <f>$AF34*Table1[[#This Row],[Total% (45-49)]]</f>
        <v>0</v>
      </c>
      <c r="EG34" s="1">
        <f>$CT34*Table1[[#This Row],[Female% (45-49)]]</f>
        <v>0</v>
      </c>
      <c r="EH34" s="1">
        <f>$CU34*Table1[[#This Row],[Male% (45-49)]]</f>
        <v>0</v>
      </c>
      <c r="EI34" s="1">
        <f>$AF34*Table1[[#This Row],[Total% (50-54)]]</f>
        <v>0</v>
      </c>
      <c r="EJ34" s="1">
        <f>$CT34*Table1[[#This Row],[Female%(50-54)]]</f>
        <v>0</v>
      </c>
      <c r="EK34" s="1">
        <f>$CU34*Table1[[#This Row],[Male% (50-54)]]</f>
        <v>0</v>
      </c>
      <c r="EL34" s="1">
        <f>$AF34*Table1[[#This Row],[Total% (55-59)]]</f>
        <v>0</v>
      </c>
      <c r="EM34" s="1">
        <f>$CT34*Table1[[#This Row],[Female% (55-59)]]</f>
        <v>0</v>
      </c>
      <c r="EN34" s="1">
        <f>$CU34*Table1[[#This Row],[Male% (55-59)]]</f>
        <v>0</v>
      </c>
      <c r="EO34" s="1">
        <f>$AF34*Table1[[#This Row],[Total% (60-64)]]</f>
        <v>0</v>
      </c>
      <c r="EP34" s="1">
        <f>$CT34*Table1[[#This Row],[Female%(60-64)]]</f>
        <v>0</v>
      </c>
      <c r="EQ34" s="1">
        <f>$CU34*Table1[[#This Row],[Male%(60-64)]]</f>
        <v>0</v>
      </c>
      <c r="ER34" s="1">
        <f>$AF34*Table1[[#This Row],[Total% (&gt;=65)]]</f>
        <v>0</v>
      </c>
      <c r="ES34" s="1">
        <f>$CT34*Table1[[#This Row],[Female%(&gt;=65)]]</f>
        <v>0</v>
      </c>
      <c r="ET34" s="1">
        <f>$CU34*Table1[[#This Row],[Male% (&gt;=65)]]</f>
        <v>0</v>
      </c>
    </row>
    <row r="35" spans="1:150" hidden="1" x14ac:dyDescent="0.35">
      <c r="A35" t="s">
        <v>54</v>
      </c>
      <c r="B35" t="s">
        <v>55</v>
      </c>
      <c r="C35" t="s">
        <v>56</v>
      </c>
      <c r="D35" t="s">
        <v>57</v>
      </c>
      <c r="E35" t="s">
        <v>124</v>
      </c>
      <c r="F35" t="s">
        <v>125</v>
      </c>
      <c r="H35">
        <v>2</v>
      </c>
      <c r="I35" s="1">
        <v>0</v>
      </c>
      <c r="J35" s="1">
        <v>71828</v>
      </c>
      <c r="K35" s="1">
        <v>14260</v>
      </c>
      <c r="L35" s="1">
        <v>0</v>
      </c>
      <c r="M35" s="1">
        <v>0</v>
      </c>
      <c r="N35" s="1">
        <v>14260</v>
      </c>
      <c r="O35" s="3">
        <v>0</v>
      </c>
      <c r="P35" s="3">
        <v>1</v>
      </c>
      <c r="Q35" s="3">
        <v>0</v>
      </c>
      <c r="R35" s="3">
        <v>0</v>
      </c>
      <c r="S35" s="3">
        <v>0</v>
      </c>
      <c r="T35" s="1">
        <v>86088</v>
      </c>
      <c r="U35" s="1">
        <v>0</v>
      </c>
      <c r="V35" s="10">
        <f>Table1[[#This Row],[Pop NW+RATAA]]*Table1[[#This Row],[Perc_pop_Northern_Aleppo]]</f>
        <v>0</v>
      </c>
      <c r="W35" s="10">
        <f>Table1[[#This Row],[Pop NW+RATAA]]*Table1[[#This Row],[Perc_pop_Afrin District]]</f>
        <v>0</v>
      </c>
      <c r="X35" s="10">
        <f>Table1[[#This Row],[Pop NW+RATAA]]*Table1[[#This Row],[Perc_pop_Euphrates Shiled]]</f>
        <v>0</v>
      </c>
      <c r="Y35" s="10">
        <f>Table1[[#This Row],[Pop NW+RATAA]]*Table1[[#This Row],[Perc_Pop_Idleb_NSAG]]</f>
        <v>0</v>
      </c>
      <c r="Z35" s="3">
        <v>0</v>
      </c>
      <c r="AA35" s="3">
        <v>0</v>
      </c>
      <c r="AB35" s="3">
        <v>0</v>
      </c>
      <c r="AC35" s="3">
        <v>0</v>
      </c>
      <c r="AD35" s="1">
        <v>0</v>
      </c>
      <c r="AE35" s="1">
        <v>14260</v>
      </c>
      <c r="AF35" s="1">
        <v>0</v>
      </c>
      <c r="AG35" s="1">
        <v>0</v>
      </c>
      <c r="AH35" s="1">
        <v>0</v>
      </c>
      <c r="AI35" s="1">
        <f>Table1[[#This Row],[NWS_pin]]*Table1[[#This Row],[Perc_pop_Northern_Aleppo]]</f>
        <v>0</v>
      </c>
      <c r="AJ35" s="1">
        <f>Table1[[#This Row],[NWS_pin]]*Table1[[#This Row],[Perc_pop_Afrin District]]</f>
        <v>0</v>
      </c>
      <c r="AK35" s="1">
        <f>Table1[[#This Row],[NWS_pin]]*Table1[[#This Row],[Perc_pop_Euphrates Shiled]]</f>
        <v>0</v>
      </c>
      <c r="AL35" s="1">
        <f>Table1[[#This Row],[NWS_pin]]*Table1[[#This Row],[Perc_Pop_Idleb_NSAG]]</f>
        <v>0</v>
      </c>
      <c r="AM35" s="4">
        <v>0.53842589174114397</v>
      </c>
      <c r="AN35" s="4">
        <v>0.46157410825885598</v>
      </c>
      <c r="AO35" s="4">
        <v>0.18901735457079</v>
      </c>
      <c r="AP35" s="4">
        <v>0.28897872854708001</v>
      </c>
      <c r="AQ35" s="4">
        <v>0.67576029090671597</v>
      </c>
      <c r="AR35" s="4">
        <v>3.7415912602026399E-4</v>
      </c>
      <c r="AS35" s="4">
        <v>0</v>
      </c>
      <c r="AT35" s="4">
        <v>3.4886821420183498E-2</v>
      </c>
      <c r="AU35" s="4">
        <v>8.9883031697656796E-2</v>
      </c>
      <c r="AV35" s="4">
        <v>0.100981075707371</v>
      </c>
      <c r="AW35" s="4">
        <v>7.6937170706767602E-2</v>
      </c>
      <c r="AX35" s="4">
        <v>0.13334736994662599</v>
      </c>
      <c r="AY35" s="4">
        <v>0.146465199860739</v>
      </c>
      <c r="AZ35" s="4">
        <v>0.11804543003527</v>
      </c>
      <c r="BA35" s="4">
        <v>7.0140155066068299E-2</v>
      </c>
      <c r="BB35" s="4">
        <v>6.9063772609287297E-2</v>
      </c>
      <c r="BC35" s="4">
        <v>7.1395754489382998E-2</v>
      </c>
      <c r="BD35" s="4">
        <v>5.6907778281882801E-2</v>
      </c>
      <c r="BE35" s="4">
        <v>3.21002588001617E-2</v>
      </c>
      <c r="BF35" s="4">
        <v>8.5845733335767005E-2</v>
      </c>
      <c r="BG35" s="4">
        <v>3.4672114060168298E-2</v>
      </c>
      <c r="BH35" s="4">
        <v>4.2681188528881503E-2</v>
      </c>
      <c r="BI35" s="4">
        <v>2.5329533994087699E-2</v>
      </c>
      <c r="BJ35" s="4">
        <v>3.1937225463155999E-2</v>
      </c>
      <c r="BK35" s="4">
        <v>3.4287134688691497E-2</v>
      </c>
      <c r="BL35" s="4">
        <v>2.91960579071107E-2</v>
      </c>
      <c r="BM35" s="4">
        <v>1.5941795589069201E-2</v>
      </c>
      <c r="BN35" s="4">
        <v>1.0260875334647901E-2</v>
      </c>
      <c r="BO35" s="4">
        <v>2.25685853053194E-2</v>
      </c>
      <c r="BP35" s="4">
        <v>3.2274425598289302E-2</v>
      </c>
      <c r="BQ35" s="4">
        <v>4.0256937541033697E-2</v>
      </c>
      <c r="BR35" s="4">
        <v>2.2962830701167999E-2</v>
      </c>
      <c r="BS35" s="4">
        <v>0.14088986984173299</v>
      </c>
      <c r="BT35" s="4">
        <v>0.20912026687794999</v>
      </c>
      <c r="BU35" s="4">
        <v>6.1299156864662897E-2</v>
      </c>
      <c r="BV35" s="4">
        <v>0.113551746441515</v>
      </c>
      <c r="BW35" s="4">
        <v>9.1223471762377703E-2</v>
      </c>
      <c r="BX35" s="4">
        <v>0.13959766407434199</v>
      </c>
      <c r="BY35" s="4">
        <v>0.10142188645264701</v>
      </c>
      <c r="BZ35" s="4">
        <v>7.8544475787493698E-2</v>
      </c>
      <c r="CA35" s="4">
        <v>0.12810837084965701</v>
      </c>
      <c r="CB35" s="4">
        <v>6.6725119668251801E-2</v>
      </c>
      <c r="CC35" s="4">
        <v>3.4856352539045801E-2</v>
      </c>
      <c r="CD35" s="4">
        <v>0.103900015428676</v>
      </c>
      <c r="CE35" s="4">
        <v>1.80325046060715E-2</v>
      </c>
      <c r="CF35" s="4">
        <v>5.4265435067101901E-3</v>
      </c>
      <c r="CG35" s="4">
        <v>3.2737349883855897E-2</v>
      </c>
      <c r="CH35" s="4">
        <v>2.5287710440572601E-2</v>
      </c>
      <c r="CI35" s="4">
        <v>4.0077147510263297E-2</v>
      </c>
      <c r="CJ35" s="4">
        <v>8.0358418887690793E-3</v>
      </c>
      <c r="CK35" s="4">
        <v>4.1497677454729799E-2</v>
      </c>
      <c r="CL35" s="4">
        <v>3.63517352667471E-2</v>
      </c>
      <c r="CM35" s="4">
        <v>4.7500415610612398E-2</v>
      </c>
      <c r="CN35" s="4">
        <v>2.2086184084142799E-2</v>
      </c>
      <c r="CO35" s="4">
        <v>2.83035636785989E-2</v>
      </c>
      <c r="CP35" s="4">
        <v>1.4833614902855801E-2</v>
      </c>
      <c r="CQ35" s="4">
        <v>5.40340530741985E-3</v>
      </c>
      <c r="CR35" s="4">
        <v>0</v>
      </c>
      <c r="CS35" s="4">
        <v>1.1706474021696099E-2</v>
      </c>
      <c r="CT35" s="1">
        <f>Table1[[#This Row],[Female %]]*Table1[[#This Row],[NWS_pin]]</f>
        <v>0</v>
      </c>
      <c r="CU35" s="1">
        <f>Table1[[#This Row],[Male %]]*Table1[[#This Row],[NWS_pin]]</f>
        <v>0</v>
      </c>
      <c r="CV35" s="1">
        <f>Table1[[#This Row],[Female% (0-2)22]]+Table1[[#This Row],[Male%(0-2)3]]</f>
        <v>0</v>
      </c>
      <c r="CW35" s="1">
        <f>$CT35*Table1[[#This Row],[Female% (0-2)]]</f>
        <v>0</v>
      </c>
      <c r="CX35" s="1">
        <f>$CU35*Table1[[#This Row],[Male%(0-2)]]</f>
        <v>0</v>
      </c>
      <c r="CY35" s="1">
        <f>Table1[[#This Row],[Female%  (3-5)5]]+Table1[[#This Row],[Male% (3-5)6]]</f>
        <v>0</v>
      </c>
      <c r="CZ35" s="1">
        <f>$AF35*Table1[[#This Row],[Female%  (3-5)]]</f>
        <v>0</v>
      </c>
      <c r="DA35" s="1">
        <f>$CU35*Table1[[#This Row],[Male% (3-5)]]</f>
        <v>0</v>
      </c>
      <c r="DB35" s="1">
        <f>Table1[[#This Row],[Female% (6-8)8]]+Table1[[#This Row],[Male%(6-8)9]]</f>
        <v>0</v>
      </c>
      <c r="DC35" s="1">
        <f>$CT35*Table1[[#This Row],[Female% (6-8)]]</f>
        <v>0</v>
      </c>
      <c r="DD35" s="1">
        <f>$CU35*Table1[[#This Row],[Male%(6-8)]]</f>
        <v>0</v>
      </c>
      <c r="DE35" s="1">
        <f>Table1[[#This Row],[Female% (9 - 11)11]]+Table1[[#This Row],[Male% (9 - 11)12]]</f>
        <v>0</v>
      </c>
      <c r="DF35" s="1">
        <f>$CT35*Table1[[#This Row],[Female% (9 - 11)]]</f>
        <v>0</v>
      </c>
      <c r="DG35" s="1">
        <f>$CU35*Table1[[#This Row],[Male% (9 - 11)]]</f>
        <v>0</v>
      </c>
      <c r="DH35" s="1">
        <f>Table1[[#This Row],[Female% (12-14)14]]+Table1[[#This Row],[Male%(12-14)15]]</f>
        <v>0</v>
      </c>
      <c r="DI35" s="1">
        <f>$CT35*Table1[[#This Row],[Female% (12-14)]]</f>
        <v>0</v>
      </c>
      <c r="DJ35" s="1">
        <f>$CU35*Table1[[#This Row],[Male%(12-14)]]</f>
        <v>0</v>
      </c>
      <c r="DK35" s="1">
        <f>Table1[[#This Row],[Female% (15-17)17]]+Table1[[#This Row],[Male%(15-17)18]]</f>
        <v>0</v>
      </c>
      <c r="DL35" s="1">
        <f>$CT35*Table1[[#This Row],[Female% (15-17)]]</f>
        <v>0</v>
      </c>
      <c r="DM35" s="1">
        <f>$CU35*Table1[[#This Row],[Male%(15-17)]]</f>
        <v>0</v>
      </c>
      <c r="DN35" s="1">
        <f>$AF35*Table1[[#This Row],[Total% (18-19)]]</f>
        <v>0</v>
      </c>
      <c r="DO35" s="1">
        <f>$CT35*Table1[[#This Row],[Female% (18-19)]]</f>
        <v>0</v>
      </c>
      <c r="DP35" s="1">
        <f>$CU35*Table1[[#This Row],[Male%(18-19)]]</f>
        <v>0</v>
      </c>
      <c r="DQ35" s="1">
        <f>$AF35*Table1[[#This Row],[Total% (20-24)]]</f>
        <v>0</v>
      </c>
      <c r="DR35" s="1">
        <f>$CT35*Table1[[#This Row],[Female% (20-24)]]</f>
        <v>0</v>
      </c>
      <c r="DS35" s="1">
        <f>$CU35*Table1[[#This Row],[Male% (20-24)]]</f>
        <v>0</v>
      </c>
      <c r="DT35" s="1">
        <f>$AF35*Table1[[#This Row],[Total% (25-29)]]</f>
        <v>0</v>
      </c>
      <c r="DU35" s="1">
        <f>$CT35*Table1[[#This Row],[Female% (25-29)]]</f>
        <v>0</v>
      </c>
      <c r="DV35" s="1">
        <f>$CU35*Table1[[#This Row],[Male% (25-29)]]</f>
        <v>0</v>
      </c>
      <c r="DW35" s="1">
        <f>$AF35*Table1[[#This Row],[Total%   (30-34)]]</f>
        <v>0</v>
      </c>
      <c r="DX35" s="1">
        <f>$CT35*Table1[[#This Row],[Female%   (30-34)]]</f>
        <v>0</v>
      </c>
      <c r="DY35" s="1">
        <f>$CU35*Table1[[#This Row],[Male%  (30-34)]]</f>
        <v>0</v>
      </c>
      <c r="DZ35" s="1">
        <f>$AF35*Table1[[#This Row],[Total% (35-39)]]</f>
        <v>0</v>
      </c>
      <c r="EA35" s="1">
        <f>$CT35*Table1[[#This Row],[Female% (35-39)]]</f>
        <v>0</v>
      </c>
      <c r="EB35" s="1">
        <f>$CU35*Table1[[#This Row],[Male% (35-39)]]</f>
        <v>0</v>
      </c>
      <c r="EC35" s="1">
        <f>$AF35*Table1[[#This Row],[Total% (40-44)]]</f>
        <v>0</v>
      </c>
      <c r="ED35" s="1">
        <f>$CT35*Table1[[#This Row],[Female% (40-44)]]</f>
        <v>0</v>
      </c>
      <c r="EE35" s="1">
        <f>$CU35*Table1[[#This Row],[Male%(55-59)]]</f>
        <v>0</v>
      </c>
      <c r="EF35" s="1">
        <f>$AF35*Table1[[#This Row],[Total% (45-49)]]</f>
        <v>0</v>
      </c>
      <c r="EG35" s="1">
        <f>$CT35*Table1[[#This Row],[Female% (45-49)]]</f>
        <v>0</v>
      </c>
      <c r="EH35" s="1">
        <f>$CU35*Table1[[#This Row],[Male% (45-49)]]</f>
        <v>0</v>
      </c>
      <c r="EI35" s="1">
        <f>$AF35*Table1[[#This Row],[Total% (50-54)]]</f>
        <v>0</v>
      </c>
      <c r="EJ35" s="1">
        <f>$CT35*Table1[[#This Row],[Female%(50-54)]]</f>
        <v>0</v>
      </c>
      <c r="EK35" s="1">
        <f>$CU35*Table1[[#This Row],[Male% (50-54)]]</f>
        <v>0</v>
      </c>
      <c r="EL35" s="1">
        <f>$AF35*Table1[[#This Row],[Total% (55-59)]]</f>
        <v>0</v>
      </c>
      <c r="EM35" s="1">
        <f>$CT35*Table1[[#This Row],[Female% (55-59)]]</f>
        <v>0</v>
      </c>
      <c r="EN35" s="1">
        <f>$CU35*Table1[[#This Row],[Male% (55-59)]]</f>
        <v>0</v>
      </c>
      <c r="EO35" s="1">
        <f>$AF35*Table1[[#This Row],[Total% (60-64)]]</f>
        <v>0</v>
      </c>
      <c r="EP35" s="1">
        <f>$CT35*Table1[[#This Row],[Female%(60-64)]]</f>
        <v>0</v>
      </c>
      <c r="EQ35" s="1">
        <f>$CU35*Table1[[#This Row],[Male%(60-64)]]</f>
        <v>0</v>
      </c>
      <c r="ER35" s="1">
        <f>$AF35*Table1[[#This Row],[Total% (&gt;=65)]]</f>
        <v>0</v>
      </c>
      <c r="ES35" s="1">
        <f>$CT35*Table1[[#This Row],[Female%(&gt;=65)]]</f>
        <v>0</v>
      </c>
      <c r="ET35" s="1">
        <f>$CU35*Table1[[#This Row],[Male% (&gt;=65)]]</f>
        <v>0</v>
      </c>
    </row>
    <row r="36" spans="1:150" hidden="1" x14ac:dyDescent="0.35">
      <c r="A36" t="s">
        <v>54</v>
      </c>
      <c r="B36" t="s">
        <v>55</v>
      </c>
      <c r="C36" t="s">
        <v>56</v>
      </c>
      <c r="D36" t="s">
        <v>57</v>
      </c>
      <c r="E36" t="s">
        <v>58</v>
      </c>
      <c r="F36" t="s">
        <v>59</v>
      </c>
      <c r="H36">
        <v>2</v>
      </c>
      <c r="I36" s="1">
        <v>0</v>
      </c>
      <c r="J36" s="1">
        <v>15120</v>
      </c>
      <c r="K36" s="1">
        <v>841</v>
      </c>
      <c r="L36" s="1">
        <v>0</v>
      </c>
      <c r="M36" s="1">
        <v>0</v>
      </c>
      <c r="N36" s="1">
        <v>841</v>
      </c>
      <c r="O36" s="3">
        <v>0</v>
      </c>
      <c r="P36" s="3">
        <v>1</v>
      </c>
      <c r="Q36" s="3">
        <v>0</v>
      </c>
      <c r="R36" s="3">
        <v>0</v>
      </c>
      <c r="S36" s="3">
        <v>0</v>
      </c>
      <c r="T36" s="1">
        <v>15961</v>
      </c>
      <c r="U36" s="1">
        <v>0</v>
      </c>
      <c r="V36" s="10">
        <f>Table1[[#This Row],[Pop NW+RATAA]]*Table1[[#This Row],[Perc_pop_Northern_Aleppo]]</f>
        <v>0</v>
      </c>
      <c r="W36" s="10">
        <f>Table1[[#This Row],[Pop NW+RATAA]]*Table1[[#This Row],[Perc_pop_Afrin District]]</f>
        <v>0</v>
      </c>
      <c r="X36" s="10">
        <f>Table1[[#This Row],[Pop NW+RATAA]]*Table1[[#This Row],[Perc_pop_Euphrates Shiled]]</f>
        <v>0</v>
      </c>
      <c r="Y36" s="10">
        <f>Table1[[#This Row],[Pop NW+RATAA]]*Table1[[#This Row],[Perc_Pop_Idleb_NSAG]]</f>
        <v>0</v>
      </c>
      <c r="Z36" s="3">
        <v>0</v>
      </c>
      <c r="AA36" s="3">
        <v>0</v>
      </c>
      <c r="AB36" s="3">
        <v>0</v>
      </c>
      <c r="AC36" s="3">
        <v>0</v>
      </c>
      <c r="AD36" s="1">
        <v>0</v>
      </c>
      <c r="AE36" s="1">
        <v>841</v>
      </c>
      <c r="AF36" s="1">
        <v>0</v>
      </c>
      <c r="AG36" s="1">
        <v>0</v>
      </c>
      <c r="AH36" s="1">
        <v>0</v>
      </c>
      <c r="AI36" s="1">
        <f>Table1[[#This Row],[NWS_pin]]*Table1[[#This Row],[Perc_pop_Northern_Aleppo]]</f>
        <v>0</v>
      </c>
      <c r="AJ36" s="1">
        <f>Table1[[#This Row],[NWS_pin]]*Table1[[#This Row],[Perc_pop_Afrin District]]</f>
        <v>0</v>
      </c>
      <c r="AK36" s="1">
        <f>Table1[[#This Row],[NWS_pin]]*Table1[[#This Row],[Perc_pop_Euphrates Shiled]]</f>
        <v>0</v>
      </c>
      <c r="AL36" s="1">
        <f>Table1[[#This Row],[NWS_pin]]*Table1[[#This Row],[Perc_Pop_Idleb_NSAG]]</f>
        <v>0</v>
      </c>
      <c r="AM36" s="4">
        <v>0.520425747926337</v>
      </c>
      <c r="AN36" s="4">
        <v>0.479574252073663</v>
      </c>
      <c r="AO36" s="4">
        <v>0.24432657800295501</v>
      </c>
      <c r="AP36" s="4">
        <v>0.234772013761922</v>
      </c>
      <c r="AQ36" s="4">
        <v>0.65194680519692705</v>
      </c>
      <c r="AR36" s="4">
        <v>6.7564626637717602E-3</v>
      </c>
      <c r="AS36" s="4">
        <v>1.5782271008900398E-2</v>
      </c>
      <c r="AT36" s="4">
        <v>9.0742447368478599E-2</v>
      </c>
      <c r="AU36" s="4">
        <v>9.6846256336344805E-2</v>
      </c>
      <c r="AV36" s="4">
        <v>8.2673138139483696E-2</v>
      </c>
      <c r="AW36" s="4">
        <v>0.11222668096539</v>
      </c>
      <c r="AX36" s="4">
        <v>9.8617096199349497E-2</v>
      </c>
      <c r="AY36" s="4">
        <v>7.7237419350466893E-2</v>
      </c>
      <c r="AZ36" s="4">
        <v>0.121817954599049</v>
      </c>
      <c r="BA36" s="4">
        <v>6.1726733951758497E-2</v>
      </c>
      <c r="BB36" s="4">
        <v>4.2898204360976702E-2</v>
      </c>
      <c r="BC36" s="4">
        <v>8.2159131129600799E-2</v>
      </c>
      <c r="BD36" s="4">
        <v>2.8747144721188299E-2</v>
      </c>
      <c r="BE36" s="4">
        <v>2.3441335602823299E-2</v>
      </c>
      <c r="BF36" s="4">
        <v>3.4504917718466199E-2</v>
      </c>
      <c r="BG36" s="4">
        <v>4.5032516212111698E-2</v>
      </c>
      <c r="BH36" s="4">
        <v>4.7468245225312997E-2</v>
      </c>
      <c r="BI36" s="4">
        <v>4.2389304888818098E-2</v>
      </c>
      <c r="BJ36" s="4">
        <v>4.0199317840738401E-2</v>
      </c>
      <c r="BK36" s="4">
        <v>5.0744322571708397E-2</v>
      </c>
      <c r="BL36" s="4">
        <v>2.8756059679416399E-2</v>
      </c>
      <c r="BM36" s="4">
        <v>1.1948921824871001E-2</v>
      </c>
      <c r="BN36" s="4">
        <v>2.2959897492547499E-2</v>
      </c>
      <c r="BO36" s="4">
        <v>0</v>
      </c>
      <c r="BP36" s="4">
        <v>6.1118133988514803E-2</v>
      </c>
      <c r="BQ36" s="4">
        <v>8.8470150631006397E-2</v>
      </c>
      <c r="BR36" s="4">
        <v>3.1436194941720799E-2</v>
      </c>
      <c r="BS36" s="4">
        <v>0.16128077219220099</v>
      </c>
      <c r="BT36" s="4">
        <v>0.176086006760032</v>
      </c>
      <c r="BU36" s="4">
        <v>0.14521438572572101</v>
      </c>
      <c r="BV36" s="4">
        <v>0.133457302977051</v>
      </c>
      <c r="BW36" s="4">
        <v>0.117486118633084</v>
      </c>
      <c r="BX36" s="4">
        <v>0.150788958130634</v>
      </c>
      <c r="BY36" s="4">
        <v>5.1203320910401903E-2</v>
      </c>
      <c r="BZ36" s="4">
        <v>3.4607308039057399E-2</v>
      </c>
      <c r="CA36" s="4">
        <v>6.9213029258626393E-2</v>
      </c>
      <c r="CB36" s="4">
        <v>3.4967162480246103E-2</v>
      </c>
      <c r="CC36" s="4">
        <v>3.9696863218101501E-2</v>
      </c>
      <c r="CD36" s="4">
        <v>2.9834572410360399E-2</v>
      </c>
      <c r="CE36" s="4">
        <v>3.9681568452993199E-2</v>
      </c>
      <c r="CF36" s="4">
        <v>3.4486912658188602E-2</v>
      </c>
      <c r="CG36" s="4">
        <v>4.5318719771149901E-2</v>
      </c>
      <c r="CH36" s="4">
        <v>2.9898954250913601E-2</v>
      </c>
      <c r="CI36" s="4">
        <v>2.7933305906754101E-2</v>
      </c>
      <c r="CJ36" s="4">
        <v>3.2032042099658799E-2</v>
      </c>
      <c r="CK36" s="4">
        <v>2.1233863702100501E-2</v>
      </c>
      <c r="CL36" s="4">
        <v>2.98547559518763E-2</v>
      </c>
      <c r="CM36" s="4">
        <v>1.18786193838697E-2</v>
      </c>
      <c r="CN36" s="4">
        <v>3.7962628543931599E-2</v>
      </c>
      <c r="CO36" s="4">
        <v>5.5385370896381403E-2</v>
      </c>
      <c r="CP36" s="4">
        <v>1.9055767551092499E-2</v>
      </c>
      <c r="CQ36" s="4">
        <v>4.60783054152848E-2</v>
      </c>
      <c r="CR36" s="4">
        <v>4.8570644562198999E-2</v>
      </c>
      <c r="CS36" s="4">
        <v>4.33736617464257E-2</v>
      </c>
      <c r="CT36" s="1">
        <f>Table1[[#This Row],[Female %]]*Table1[[#This Row],[NWS_pin]]</f>
        <v>0</v>
      </c>
      <c r="CU36" s="1">
        <f>Table1[[#This Row],[Male %]]*Table1[[#This Row],[NWS_pin]]</f>
        <v>0</v>
      </c>
      <c r="CV36" s="1">
        <f>Table1[[#This Row],[Female% (0-2)22]]+Table1[[#This Row],[Male%(0-2)3]]</f>
        <v>0</v>
      </c>
      <c r="CW36" s="1">
        <f>$CT36*Table1[[#This Row],[Female% (0-2)]]</f>
        <v>0</v>
      </c>
      <c r="CX36" s="1">
        <f>$CU36*Table1[[#This Row],[Male%(0-2)]]</f>
        <v>0</v>
      </c>
      <c r="CY36" s="1">
        <f>Table1[[#This Row],[Female%  (3-5)5]]+Table1[[#This Row],[Male% (3-5)6]]</f>
        <v>0</v>
      </c>
      <c r="CZ36" s="1">
        <f>$AF36*Table1[[#This Row],[Female%  (3-5)]]</f>
        <v>0</v>
      </c>
      <c r="DA36" s="1">
        <f>$CU36*Table1[[#This Row],[Male% (3-5)]]</f>
        <v>0</v>
      </c>
      <c r="DB36" s="1">
        <f>Table1[[#This Row],[Female% (6-8)8]]+Table1[[#This Row],[Male%(6-8)9]]</f>
        <v>0</v>
      </c>
      <c r="DC36" s="1">
        <f>$CT36*Table1[[#This Row],[Female% (6-8)]]</f>
        <v>0</v>
      </c>
      <c r="DD36" s="1">
        <f>$CU36*Table1[[#This Row],[Male%(6-8)]]</f>
        <v>0</v>
      </c>
      <c r="DE36" s="1">
        <f>Table1[[#This Row],[Female% (9 - 11)11]]+Table1[[#This Row],[Male% (9 - 11)12]]</f>
        <v>0</v>
      </c>
      <c r="DF36" s="1">
        <f>$CT36*Table1[[#This Row],[Female% (9 - 11)]]</f>
        <v>0</v>
      </c>
      <c r="DG36" s="1">
        <f>$CU36*Table1[[#This Row],[Male% (9 - 11)]]</f>
        <v>0</v>
      </c>
      <c r="DH36" s="1">
        <f>Table1[[#This Row],[Female% (12-14)14]]+Table1[[#This Row],[Male%(12-14)15]]</f>
        <v>0</v>
      </c>
      <c r="DI36" s="1">
        <f>$CT36*Table1[[#This Row],[Female% (12-14)]]</f>
        <v>0</v>
      </c>
      <c r="DJ36" s="1">
        <f>$CU36*Table1[[#This Row],[Male%(12-14)]]</f>
        <v>0</v>
      </c>
      <c r="DK36" s="1">
        <f>Table1[[#This Row],[Female% (15-17)17]]+Table1[[#This Row],[Male%(15-17)18]]</f>
        <v>0</v>
      </c>
      <c r="DL36" s="1">
        <f>$CT36*Table1[[#This Row],[Female% (15-17)]]</f>
        <v>0</v>
      </c>
      <c r="DM36" s="1">
        <f>$CU36*Table1[[#This Row],[Male%(15-17)]]</f>
        <v>0</v>
      </c>
      <c r="DN36" s="1">
        <f>$AF36*Table1[[#This Row],[Total% (18-19)]]</f>
        <v>0</v>
      </c>
      <c r="DO36" s="1">
        <f>$CT36*Table1[[#This Row],[Female% (18-19)]]</f>
        <v>0</v>
      </c>
      <c r="DP36" s="1">
        <f>$CU36*Table1[[#This Row],[Male%(18-19)]]</f>
        <v>0</v>
      </c>
      <c r="DQ36" s="1">
        <f>$AF36*Table1[[#This Row],[Total% (20-24)]]</f>
        <v>0</v>
      </c>
      <c r="DR36" s="1">
        <f>$CT36*Table1[[#This Row],[Female% (20-24)]]</f>
        <v>0</v>
      </c>
      <c r="DS36" s="1">
        <f>$CU36*Table1[[#This Row],[Male% (20-24)]]</f>
        <v>0</v>
      </c>
      <c r="DT36" s="1">
        <f>$AF36*Table1[[#This Row],[Total% (25-29)]]</f>
        <v>0</v>
      </c>
      <c r="DU36" s="1">
        <f>$CT36*Table1[[#This Row],[Female% (25-29)]]</f>
        <v>0</v>
      </c>
      <c r="DV36" s="1">
        <f>$CU36*Table1[[#This Row],[Male% (25-29)]]</f>
        <v>0</v>
      </c>
      <c r="DW36" s="1">
        <f>$AF36*Table1[[#This Row],[Total%   (30-34)]]</f>
        <v>0</v>
      </c>
      <c r="DX36" s="1">
        <f>$CT36*Table1[[#This Row],[Female%   (30-34)]]</f>
        <v>0</v>
      </c>
      <c r="DY36" s="1">
        <f>$CU36*Table1[[#This Row],[Male%  (30-34)]]</f>
        <v>0</v>
      </c>
      <c r="DZ36" s="1">
        <f>$AF36*Table1[[#This Row],[Total% (35-39)]]</f>
        <v>0</v>
      </c>
      <c r="EA36" s="1">
        <f>$CT36*Table1[[#This Row],[Female% (35-39)]]</f>
        <v>0</v>
      </c>
      <c r="EB36" s="1">
        <f>$CU36*Table1[[#This Row],[Male% (35-39)]]</f>
        <v>0</v>
      </c>
      <c r="EC36" s="1">
        <f>$AF36*Table1[[#This Row],[Total% (40-44)]]</f>
        <v>0</v>
      </c>
      <c r="ED36" s="1">
        <f>$CT36*Table1[[#This Row],[Female% (40-44)]]</f>
        <v>0</v>
      </c>
      <c r="EE36" s="1">
        <f>$CU36*Table1[[#This Row],[Male%(55-59)]]</f>
        <v>0</v>
      </c>
      <c r="EF36" s="1">
        <f>$AF36*Table1[[#This Row],[Total% (45-49)]]</f>
        <v>0</v>
      </c>
      <c r="EG36" s="1">
        <f>$CT36*Table1[[#This Row],[Female% (45-49)]]</f>
        <v>0</v>
      </c>
      <c r="EH36" s="1">
        <f>$CU36*Table1[[#This Row],[Male% (45-49)]]</f>
        <v>0</v>
      </c>
      <c r="EI36" s="1">
        <f>$AF36*Table1[[#This Row],[Total% (50-54)]]</f>
        <v>0</v>
      </c>
      <c r="EJ36" s="1">
        <f>$CT36*Table1[[#This Row],[Female%(50-54)]]</f>
        <v>0</v>
      </c>
      <c r="EK36" s="1">
        <f>$CU36*Table1[[#This Row],[Male% (50-54)]]</f>
        <v>0</v>
      </c>
      <c r="EL36" s="1">
        <f>$AF36*Table1[[#This Row],[Total% (55-59)]]</f>
        <v>0</v>
      </c>
      <c r="EM36" s="1">
        <f>$CT36*Table1[[#This Row],[Female% (55-59)]]</f>
        <v>0</v>
      </c>
      <c r="EN36" s="1">
        <f>$CU36*Table1[[#This Row],[Male% (55-59)]]</f>
        <v>0</v>
      </c>
      <c r="EO36" s="1">
        <f>$AF36*Table1[[#This Row],[Total% (60-64)]]</f>
        <v>0</v>
      </c>
      <c r="EP36" s="1">
        <f>$CT36*Table1[[#This Row],[Female%(60-64)]]</f>
        <v>0</v>
      </c>
      <c r="EQ36" s="1">
        <f>$CU36*Table1[[#This Row],[Male%(60-64)]]</f>
        <v>0</v>
      </c>
      <c r="ER36" s="1">
        <f>$AF36*Table1[[#This Row],[Total% (&gt;=65)]]</f>
        <v>0</v>
      </c>
      <c r="ES36" s="1">
        <f>$CT36*Table1[[#This Row],[Female%(&gt;=65)]]</f>
        <v>0</v>
      </c>
      <c r="ET36" s="1">
        <f>$CU36*Table1[[#This Row],[Male% (&gt;=65)]]</f>
        <v>0</v>
      </c>
    </row>
    <row r="37" spans="1:150" hidden="1" x14ac:dyDescent="0.35">
      <c r="A37" t="s">
        <v>54</v>
      </c>
      <c r="B37" t="s">
        <v>55</v>
      </c>
      <c r="C37" t="s">
        <v>56</v>
      </c>
      <c r="D37" t="s">
        <v>57</v>
      </c>
      <c r="E37" t="s">
        <v>136</v>
      </c>
      <c r="F37" t="s">
        <v>137</v>
      </c>
      <c r="H37">
        <v>2</v>
      </c>
      <c r="I37" s="1">
        <v>0</v>
      </c>
      <c r="J37" s="1">
        <v>39680</v>
      </c>
      <c r="K37" s="1">
        <v>10478</v>
      </c>
      <c r="L37" s="1">
        <v>0</v>
      </c>
      <c r="M37" s="1">
        <v>0</v>
      </c>
      <c r="N37" s="1">
        <v>10478</v>
      </c>
      <c r="O37" s="3">
        <v>0</v>
      </c>
      <c r="P37" s="3">
        <v>1</v>
      </c>
      <c r="Q37" s="3">
        <v>0</v>
      </c>
      <c r="R37" s="3">
        <v>0</v>
      </c>
      <c r="S37" s="3">
        <v>0</v>
      </c>
      <c r="T37" s="1">
        <v>50158</v>
      </c>
      <c r="U37" s="1">
        <v>0</v>
      </c>
      <c r="V37" s="10">
        <f>Table1[[#This Row],[Pop NW+RATAA]]*Table1[[#This Row],[Perc_pop_Northern_Aleppo]]</f>
        <v>0</v>
      </c>
      <c r="W37" s="10">
        <f>Table1[[#This Row],[Pop NW+RATAA]]*Table1[[#This Row],[Perc_pop_Afrin District]]</f>
        <v>0</v>
      </c>
      <c r="X37" s="10">
        <f>Table1[[#This Row],[Pop NW+RATAA]]*Table1[[#This Row],[Perc_pop_Euphrates Shiled]]</f>
        <v>0</v>
      </c>
      <c r="Y37" s="10">
        <f>Table1[[#This Row],[Pop NW+RATAA]]*Table1[[#This Row],[Perc_Pop_Idleb_NSAG]]</f>
        <v>0</v>
      </c>
      <c r="Z37" s="3">
        <v>0</v>
      </c>
      <c r="AA37" s="3">
        <v>0</v>
      </c>
      <c r="AB37" s="3">
        <v>0</v>
      </c>
      <c r="AC37" s="3">
        <v>0</v>
      </c>
      <c r="AD37" s="1">
        <v>0</v>
      </c>
      <c r="AE37" s="1">
        <v>10478</v>
      </c>
      <c r="AF37" s="1">
        <v>0</v>
      </c>
      <c r="AG37" s="1">
        <v>0</v>
      </c>
      <c r="AH37" s="1">
        <v>0</v>
      </c>
      <c r="AI37" s="1">
        <f>Table1[[#This Row],[NWS_pin]]*Table1[[#This Row],[Perc_pop_Northern_Aleppo]]</f>
        <v>0</v>
      </c>
      <c r="AJ37" s="1">
        <f>Table1[[#This Row],[NWS_pin]]*Table1[[#This Row],[Perc_pop_Afrin District]]</f>
        <v>0</v>
      </c>
      <c r="AK37" s="1">
        <f>Table1[[#This Row],[NWS_pin]]*Table1[[#This Row],[Perc_pop_Euphrates Shiled]]</f>
        <v>0</v>
      </c>
      <c r="AL37" s="1">
        <f>Table1[[#This Row],[NWS_pin]]*Table1[[#This Row],[Perc_Pop_Idleb_NSAG]]</f>
        <v>0</v>
      </c>
      <c r="AM37" s="4">
        <v>0.462919412129222</v>
      </c>
      <c r="AN37" s="4">
        <v>0.53708058787077795</v>
      </c>
      <c r="AO37" s="4">
        <v>0.25340765626753398</v>
      </c>
      <c r="AP37" s="4">
        <v>0.36246110318060298</v>
      </c>
      <c r="AQ37" s="4">
        <v>0.59351517979322899</v>
      </c>
      <c r="AR37" s="4">
        <v>7.6708612465744E-3</v>
      </c>
      <c r="AS37" s="4">
        <v>9.9043014324525294E-4</v>
      </c>
      <c r="AT37" s="4">
        <v>3.5362425636348803E-2</v>
      </c>
      <c r="AU37" s="4">
        <v>1.8664798205654701E-2</v>
      </c>
      <c r="AV37" s="4">
        <v>2.3728340468434701E-2</v>
      </c>
      <c r="AW37" s="4">
        <v>1.43004401176622E-2</v>
      </c>
      <c r="AX37" s="4">
        <v>0.13845302239837001</v>
      </c>
      <c r="AY37" s="4">
        <v>0.105512763272781</v>
      </c>
      <c r="AZ37" s="4">
        <v>0.166844823804291</v>
      </c>
      <c r="BA37" s="4">
        <v>0.127725584596626</v>
      </c>
      <c r="BB37" s="4">
        <v>0.13305269188919999</v>
      </c>
      <c r="BC37" s="4">
        <v>0.12313405507215699</v>
      </c>
      <c r="BD37" s="4">
        <v>9.1997060279303294E-2</v>
      </c>
      <c r="BE37" s="4">
        <v>5.5664905367321403E-2</v>
      </c>
      <c r="BF37" s="4">
        <v>0.12331239762917801</v>
      </c>
      <c r="BG37" s="4">
        <v>3.4219543599058898E-2</v>
      </c>
      <c r="BH37" s="4">
        <v>3.9264877652156201E-2</v>
      </c>
      <c r="BI37" s="4">
        <v>2.9870879494264899E-2</v>
      </c>
      <c r="BJ37" s="4">
        <v>6.6222246871393206E-2</v>
      </c>
      <c r="BK37" s="4">
        <v>2.8979790607086699E-2</v>
      </c>
      <c r="BL37" s="4">
        <v>9.8322189318520006E-2</v>
      </c>
      <c r="BM37" s="4">
        <v>3.5919619938552098E-3</v>
      </c>
      <c r="BN37" s="4">
        <v>5.1832019925518603E-3</v>
      </c>
      <c r="BO37" s="4">
        <v>2.2204436381584999E-3</v>
      </c>
      <c r="BP37" s="4">
        <v>4.0404462467403403E-2</v>
      </c>
      <c r="BQ37" s="4">
        <v>7.0529950350235598E-2</v>
      </c>
      <c r="BR37" s="4">
        <v>1.4438762988087999E-2</v>
      </c>
      <c r="BS37" s="4">
        <v>6.1339237980836903E-2</v>
      </c>
      <c r="BT37" s="4">
        <v>9.7755797663876903E-2</v>
      </c>
      <c r="BU37" s="4">
        <v>2.99511506417026E-2</v>
      </c>
      <c r="BV37" s="4">
        <v>0.107450212213069</v>
      </c>
      <c r="BW37" s="4">
        <v>0.148705665035338</v>
      </c>
      <c r="BX37" s="4">
        <v>7.1891395903356206E-2</v>
      </c>
      <c r="BY37" s="4">
        <v>7.7378913305666805E-2</v>
      </c>
      <c r="BZ37" s="4">
        <v>4.5554875623714401E-2</v>
      </c>
      <c r="CA37" s="4">
        <v>0.10480862338644201</v>
      </c>
      <c r="CB37" s="4">
        <v>5.9067907974649198E-2</v>
      </c>
      <c r="CC37" s="4">
        <v>4.75857912988902E-2</v>
      </c>
      <c r="CD37" s="4">
        <v>6.8964550716129905E-2</v>
      </c>
      <c r="CE37" s="4">
        <v>3.4611245224196598E-2</v>
      </c>
      <c r="CF37" s="4">
        <v>4.3740679632858298E-2</v>
      </c>
      <c r="CG37" s="4">
        <v>2.6742421615649398E-2</v>
      </c>
      <c r="CH37" s="4">
        <v>4.1417567185521698E-2</v>
      </c>
      <c r="CI37" s="4">
        <v>3.0977577158544801E-2</v>
      </c>
      <c r="CJ37" s="4">
        <v>5.0415982237316199E-2</v>
      </c>
      <c r="CK37" s="4">
        <v>1.6631302455289501E-2</v>
      </c>
      <c r="CL37" s="4">
        <v>3.1670402507200601E-2</v>
      </c>
      <c r="CM37" s="4">
        <v>3.6688318089695602E-3</v>
      </c>
      <c r="CN37" s="4">
        <v>5.5500510319997601E-2</v>
      </c>
      <c r="CO37" s="4">
        <v>5.2930228864340602E-2</v>
      </c>
      <c r="CP37" s="4">
        <v>5.7715882104660901E-2</v>
      </c>
      <c r="CQ37" s="4">
        <v>2.53244229291077E-2</v>
      </c>
      <c r="CR37" s="4">
        <v>3.9162460615468499E-2</v>
      </c>
      <c r="CS37" s="4">
        <v>1.3397169523454201E-2</v>
      </c>
      <c r="CT37" s="1">
        <f>Table1[[#This Row],[Female %]]*Table1[[#This Row],[NWS_pin]]</f>
        <v>0</v>
      </c>
      <c r="CU37" s="1">
        <f>Table1[[#This Row],[Male %]]*Table1[[#This Row],[NWS_pin]]</f>
        <v>0</v>
      </c>
      <c r="CV37" s="1">
        <f>Table1[[#This Row],[Female% (0-2)22]]+Table1[[#This Row],[Male%(0-2)3]]</f>
        <v>0</v>
      </c>
      <c r="CW37" s="1">
        <f>$CT37*Table1[[#This Row],[Female% (0-2)]]</f>
        <v>0</v>
      </c>
      <c r="CX37" s="1">
        <f>$CU37*Table1[[#This Row],[Male%(0-2)]]</f>
        <v>0</v>
      </c>
      <c r="CY37" s="1">
        <f>Table1[[#This Row],[Female%  (3-5)5]]+Table1[[#This Row],[Male% (3-5)6]]</f>
        <v>0</v>
      </c>
      <c r="CZ37" s="1">
        <f>$AF37*Table1[[#This Row],[Female%  (3-5)]]</f>
        <v>0</v>
      </c>
      <c r="DA37" s="1">
        <f>$CU37*Table1[[#This Row],[Male% (3-5)]]</f>
        <v>0</v>
      </c>
      <c r="DB37" s="1">
        <f>Table1[[#This Row],[Female% (6-8)8]]+Table1[[#This Row],[Male%(6-8)9]]</f>
        <v>0</v>
      </c>
      <c r="DC37" s="1">
        <f>$CT37*Table1[[#This Row],[Female% (6-8)]]</f>
        <v>0</v>
      </c>
      <c r="DD37" s="1">
        <f>$CU37*Table1[[#This Row],[Male%(6-8)]]</f>
        <v>0</v>
      </c>
      <c r="DE37" s="1">
        <f>Table1[[#This Row],[Female% (9 - 11)11]]+Table1[[#This Row],[Male% (9 - 11)12]]</f>
        <v>0</v>
      </c>
      <c r="DF37" s="1">
        <f>$CT37*Table1[[#This Row],[Female% (9 - 11)]]</f>
        <v>0</v>
      </c>
      <c r="DG37" s="1">
        <f>$CU37*Table1[[#This Row],[Male% (9 - 11)]]</f>
        <v>0</v>
      </c>
      <c r="DH37" s="1">
        <f>Table1[[#This Row],[Female% (12-14)14]]+Table1[[#This Row],[Male%(12-14)15]]</f>
        <v>0</v>
      </c>
      <c r="DI37" s="1">
        <f>$CT37*Table1[[#This Row],[Female% (12-14)]]</f>
        <v>0</v>
      </c>
      <c r="DJ37" s="1">
        <f>$CU37*Table1[[#This Row],[Male%(12-14)]]</f>
        <v>0</v>
      </c>
      <c r="DK37" s="1">
        <f>Table1[[#This Row],[Female% (15-17)17]]+Table1[[#This Row],[Male%(15-17)18]]</f>
        <v>0</v>
      </c>
      <c r="DL37" s="1">
        <f>$CT37*Table1[[#This Row],[Female% (15-17)]]</f>
        <v>0</v>
      </c>
      <c r="DM37" s="1">
        <f>$CU37*Table1[[#This Row],[Male%(15-17)]]</f>
        <v>0</v>
      </c>
      <c r="DN37" s="1">
        <f>$AF37*Table1[[#This Row],[Total% (18-19)]]</f>
        <v>0</v>
      </c>
      <c r="DO37" s="1">
        <f>$CT37*Table1[[#This Row],[Female% (18-19)]]</f>
        <v>0</v>
      </c>
      <c r="DP37" s="1">
        <f>$CU37*Table1[[#This Row],[Male%(18-19)]]</f>
        <v>0</v>
      </c>
      <c r="DQ37" s="1">
        <f>$AF37*Table1[[#This Row],[Total% (20-24)]]</f>
        <v>0</v>
      </c>
      <c r="DR37" s="1">
        <f>$CT37*Table1[[#This Row],[Female% (20-24)]]</f>
        <v>0</v>
      </c>
      <c r="DS37" s="1">
        <f>$CU37*Table1[[#This Row],[Male% (20-24)]]</f>
        <v>0</v>
      </c>
      <c r="DT37" s="1">
        <f>$AF37*Table1[[#This Row],[Total% (25-29)]]</f>
        <v>0</v>
      </c>
      <c r="DU37" s="1">
        <f>$CT37*Table1[[#This Row],[Female% (25-29)]]</f>
        <v>0</v>
      </c>
      <c r="DV37" s="1">
        <f>$CU37*Table1[[#This Row],[Male% (25-29)]]</f>
        <v>0</v>
      </c>
      <c r="DW37" s="1">
        <f>$AF37*Table1[[#This Row],[Total%   (30-34)]]</f>
        <v>0</v>
      </c>
      <c r="DX37" s="1">
        <f>$CT37*Table1[[#This Row],[Female%   (30-34)]]</f>
        <v>0</v>
      </c>
      <c r="DY37" s="1">
        <f>$CU37*Table1[[#This Row],[Male%  (30-34)]]</f>
        <v>0</v>
      </c>
      <c r="DZ37" s="1">
        <f>$AF37*Table1[[#This Row],[Total% (35-39)]]</f>
        <v>0</v>
      </c>
      <c r="EA37" s="1">
        <f>$CT37*Table1[[#This Row],[Female% (35-39)]]</f>
        <v>0</v>
      </c>
      <c r="EB37" s="1">
        <f>$CU37*Table1[[#This Row],[Male% (35-39)]]</f>
        <v>0</v>
      </c>
      <c r="EC37" s="1">
        <f>$AF37*Table1[[#This Row],[Total% (40-44)]]</f>
        <v>0</v>
      </c>
      <c r="ED37" s="1">
        <f>$CT37*Table1[[#This Row],[Female% (40-44)]]</f>
        <v>0</v>
      </c>
      <c r="EE37" s="1">
        <f>$CU37*Table1[[#This Row],[Male%(55-59)]]</f>
        <v>0</v>
      </c>
      <c r="EF37" s="1">
        <f>$AF37*Table1[[#This Row],[Total% (45-49)]]</f>
        <v>0</v>
      </c>
      <c r="EG37" s="1">
        <f>$CT37*Table1[[#This Row],[Female% (45-49)]]</f>
        <v>0</v>
      </c>
      <c r="EH37" s="1">
        <f>$CU37*Table1[[#This Row],[Male% (45-49)]]</f>
        <v>0</v>
      </c>
      <c r="EI37" s="1">
        <f>$AF37*Table1[[#This Row],[Total% (50-54)]]</f>
        <v>0</v>
      </c>
      <c r="EJ37" s="1">
        <f>$CT37*Table1[[#This Row],[Female%(50-54)]]</f>
        <v>0</v>
      </c>
      <c r="EK37" s="1">
        <f>$CU37*Table1[[#This Row],[Male% (50-54)]]</f>
        <v>0</v>
      </c>
      <c r="EL37" s="1">
        <f>$AF37*Table1[[#This Row],[Total% (55-59)]]</f>
        <v>0</v>
      </c>
      <c r="EM37" s="1">
        <f>$CT37*Table1[[#This Row],[Female% (55-59)]]</f>
        <v>0</v>
      </c>
      <c r="EN37" s="1">
        <f>$CU37*Table1[[#This Row],[Male% (55-59)]]</f>
        <v>0</v>
      </c>
      <c r="EO37" s="1">
        <f>$AF37*Table1[[#This Row],[Total% (60-64)]]</f>
        <v>0</v>
      </c>
      <c r="EP37" s="1">
        <f>$CT37*Table1[[#This Row],[Female%(60-64)]]</f>
        <v>0</v>
      </c>
      <c r="EQ37" s="1">
        <f>$CU37*Table1[[#This Row],[Male%(60-64)]]</f>
        <v>0</v>
      </c>
      <c r="ER37" s="1">
        <f>$AF37*Table1[[#This Row],[Total% (&gt;=65)]]</f>
        <v>0</v>
      </c>
      <c r="ES37" s="1">
        <f>$CT37*Table1[[#This Row],[Female%(&gt;=65)]]</f>
        <v>0</v>
      </c>
      <c r="ET37" s="1">
        <f>$CU37*Table1[[#This Row],[Male% (&gt;=65)]]</f>
        <v>0</v>
      </c>
    </row>
    <row r="38" spans="1:150" hidden="1" x14ac:dyDescent="0.35">
      <c r="A38" t="s">
        <v>54</v>
      </c>
      <c r="B38" t="s">
        <v>55</v>
      </c>
      <c r="C38" t="s">
        <v>507</v>
      </c>
      <c r="D38" t="s">
        <v>508</v>
      </c>
      <c r="E38" t="s">
        <v>507</v>
      </c>
      <c r="F38" t="s">
        <v>509</v>
      </c>
      <c r="H38">
        <v>3</v>
      </c>
      <c r="I38" s="1">
        <v>0</v>
      </c>
      <c r="J38" s="1">
        <v>3420</v>
      </c>
      <c r="K38" s="1">
        <v>36221</v>
      </c>
      <c r="L38" s="1">
        <v>0</v>
      </c>
      <c r="M38" s="1">
        <v>0</v>
      </c>
      <c r="N38" s="1">
        <v>36221</v>
      </c>
      <c r="O38" s="3">
        <v>1</v>
      </c>
      <c r="P38" s="3">
        <v>0</v>
      </c>
      <c r="Q38" s="3">
        <v>0</v>
      </c>
      <c r="R38" s="3">
        <v>0</v>
      </c>
      <c r="S38" s="3">
        <v>0</v>
      </c>
      <c r="T38" s="1">
        <v>39641</v>
      </c>
      <c r="U38" s="1">
        <v>0</v>
      </c>
      <c r="V38" s="10">
        <f>Table1[[#This Row],[Pop NW+RATAA]]*Table1[[#This Row],[Perc_pop_Northern_Aleppo]]</f>
        <v>0</v>
      </c>
      <c r="W38" s="10">
        <f>Table1[[#This Row],[Pop NW+RATAA]]*Table1[[#This Row],[Perc_pop_Afrin District]]</f>
        <v>0</v>
      </c>
      <c r="X38" s="10">
        <f>Table1[[#This Row],[Pop NW+RATAA]]*Table1[[#This Row],[Perc_pop_Euphrates Shiled]]</f>
        <v>0</v>
      </c>
      <c r="Y38" s="10">
        <f>Table1[[#This Row],[Pop NW+RATAA]]*Table1[[#This Row],[Perc_Pop_Idleb_NSAG]]</f>
        <v>0</v>
      </c>
      <c r="Z38" s="3">
        <v>0</v>
      </c>
      <c r="AA38" s="3">
        <v>0</v>
      </c>
      <c r="AB38" s="3">
        <v>0</v>
      </c>
      <c r="AC38" s="3">
        <v>0</v>
      </c>
      <c r="AD38" s="1">
        <v>36221</v>
      </c>
      <c r="AE38" s="1">
        <v>0</v>
      </c>
      <c r="AF38" s="1">
        <v>0</v>
      </c>
      <c r="AG38" s="1">
        <v>0</v>
      </c>
      <c r="AH38" s="1">
        <v>0</v>
      </c>
      <c r="AI38" s="1">
        <f>Table1[[#This Row],[NWS_pin]]*Table1[[#This Row],[Perc_pop_Northern_Aleppo]]</f>
        <v>0</v>
      </c>
      <c r="AJ38" s="1">
        <f>Table1[[#This Row],[NWS_pin]]*Table1[[#This Row],[Perc_pop_Afrin District]]</f>
        <v>0</v>
      </c>
      <c r="AK38" s="1">
        <f>Table1[[#This Row],[NWS_pin]]*Table1[[#This Row],[Perc_pop_Euphrates Shiled]]</f>
        <v>0</v>
      </c>
      <c r="AL38" s="1">
        <f>Table1[[#This Row],[NWS_pin]]*Table1[[#This Row],[Perc_Pop_Idleb_NSAG]]</f>
        <v>0</v>
      </c>
      <c r="AM38" s="4">
        <v>0.47669677437298802</v>
      </c>
      <c r="AN38" s="4">
        <v>0.52330322562701204</v>
      </c>
      <c r="AO38" s="4">
        <v>0.14172360448627</v>
      </c>
      <c r="AP38" s="4">
        <v>0.32258181884745901</v>
      </c>
      <c r="AQ38" s="4">
        <v>0.56768773888477497</v>
      </c>
      <c r="AR38" s="4">
        <v>3.10477607966935E-2</v>
      </c>
      <c r="AS38" s="4">
        <v>0</v>
      </c>
      <c r="AT38" s="4">
        <v>7.8682681471072602E-2</v>
      </c>
      <c r="AU38" s="4">
        <v>6.3921163701092298E-2</v>
      </c>
      <c r="AV38" s="4">
        <v>5.8300307335053599E-2</v>
      </c>
      <c r="AW38" s="4">
        <v>6.9041415149368998E-2</v>
      </c>
      <c r="AX38" s="4">
        <v>9.8618556916080805E-2</v>
      </c>
      <c r="AY38" s="4">
        <v>5.2126621458608899E-2</v>
      </c>
      <c r="AZ38" s="4">
        <v>0.14096982589665899</v>
      </c>
      <c r="BA38" s="4">
        <v>0.10002781312362199</v>
      </c>
      <c r="BB38" s="4">
        <v>4.6635942885565503E-2</v>
      </c>
      <c r="BC38" s="4">
        <v>0.14866449463791501</v>
      </c>
      <c r="BD38" s="4">
        <v>5.5460411495164001E-2</v>
      </c>
      <c r="BE38" s="4">
        <v>5.3594376074833999E-2</v>
      </c>
      <c r="BF38" s="4">
        <v>5.7160253999806003E-2</v>
      </c>
      <c r="BG38" s="4">
        <v>2.7116231043617899E-2</v>
      </c>
      <c r="BH38" s="4">
        <v>2.43541515029078E-2</v>
      </c>
      <c r="BI38" s="4">
        <v>2.9632314154018301E-2</v>
      </c>
      <c r="BJ38" s="4">
        <v>5.3770764235104303E-2</v>
      </c>
      <c r="BK38" s="4">
        <v>6.0541504818611001E-2</v>
      </c>
      <c r="BL38" s="4">
        <v>4.7603039600105798E-2</v>
      </c>
      <c r="BM38" s="4">
        <v>3.73759708518464E-2</v>
      </c>
      <c r="BN38" s="4">
        <v>5.9193723188407897E-2</v>
      </c>
      <c r="BO38" s="4">
        <v>1.75013519815998E-2</v>
      </c>
      <c r="BP38" s="4">
        <v>7.7163687185798593E-2</v>
      </c>
      <c r="BQ38" s="4">
        <v>0.110398485350168</v>
      </c>
      <c r="BR38" s="4">
        <v>4.6888847845931197E-2</v>
      </c>
      <c r="BS38" s="4">
        <v>0.14012095232135299</v>
      </c>
      <c r="BT38" s="4">
        <v>0.17946463604790699</v>
      </c>
      <c r="BU38" s="4">
        <v>0.10428129721139701</v>
      </c>
      <c r="BV38" s="4">
        <v>0.10142351043339801</v>
      </c>
      <c r="BW38" s="4">
        <v>9.0510319135436001E-2</v>
      </c>
      <c r="BX38" s="4">
        <v>0.111364750683963</v>
      </c>
      <c r="BY38" s="4">
        <v>6.2371972715325699E-2</v>
      </c>
      <c r="BZ38" s="4">
        <v>4.7297799936111599E-2</v>
      </c>
      <c r="CA38" s="4">
        <v>7.6103608960415806E-2</v>
      </c>
      <c r="CB38" s="4">
        <v>5.45710868673384E-2</v>
      </c>
      <c r="CC38" s="4">
        <v>3.9201629007061298E-2</v>
      </c>
      <c r="CD38" s="4">
        <v>6.8571709502670095E-2</v>
      </c>
      <c r="CE38" s="4">
        <v>3.6380956354255797E-2</v>
      </c>
      <c r="CF38" s="4">
        <v>5.4644960186472302E-2</v>
      </c>
      <c r="CG38" s="4">
        <v>1.9743581907496598E-2</v>
      </c>
      <c r="CH38" s="4">
        <v>2.38061216685093E-2</v>
      </c>
      <c r="CI38" s="4">
        <v>2.8265854302471902E-2</v>
      </c>
      <c r="CJ38" s="4">
        <v>1.9743581907496598E-2</v>
      </c>
      <c r="CK38" s="4">
        <v>2.0772752873443299E-2</v>
      </c>
      <c r="CL38" s="4">
        <v>2.00081392007538E-2</v>
      </c>
      <c r="CM38" s="4">
        <v>2.1469268494908999E-2</v>
      </c>
      <c r="CN38" s="4">
        <v>1.33800246146144E-2</v>
      </c>
      <c r="CO38" s="4">
        <v>1.7780434119879601E-2</v>
      </c>
      <c r="CP38" s="4">
        <v>9.3715245436148606E-3</v>
      </c>
      <c r="CQ38" s="4">
        <v>3.3718023599435397E-2</v>
      </c>
      <c r="CR38" s="4">
        <v>5.7681115449749097E-2</v>
      </c>
      <c r="CS38" s="4">
        <v>1.18891335226329E-2</v>
      </c>
      <c r="CT38" s="1">
        <f>Table1[[#This Row],[Female %]]*Table1[[#This Row],[NWS_pin]]</f>
        <v>0</v>
      </c>
      <c r="CU38" s="1">
        <f>Table1[[#This Row],[Male %]]*Table1[[#This Row],[NWS_pin]]</f>
        <v>0</v>
      </c>
      <c r="CV38" s="1">
        <f>Table1[[#This Row],[Female% (0-2)22]]+Table1[[#This Row],[Male%(0-2)3]]</f>
        <v>0</v>
      </c>
      <c r="CW38" s="1">
        <f>$CT38*Table1[[#This Row],[Female% (0-2)]]</f>
        <v>0</v>
      </c>
      <c r="CX38" s="1">
        <f>$CU38*Table1[[#This Row],[Male%(0-2)]]</f>
        <v>0</v>
      </c>
      <c r="CY38" s="1">
        <f>Table1[[#This Row],[Female%  (3-5)5]]+Table1[[#This Row],[Male% (3-5)6]]</f>
        <v>0</v>
      </c>
      <c r="CZ38" s="1">
        <f>$AF38*Table1[[#This Row],[Female%  (3-5)]]</f>
        <v>0</v>
      </c>
      <c r="DA38" s="1">
        <f>$CU38*Table1[[#This Row],[Male% (3-5)]]</f>
        <v>0</v>
      </c>
      <c r="DB38" s="1">
        <f>Table1[[#This Row],[Female% (6-8)8]]+Table1[[#This Row],[Male%(6-8)9]]</f>
        <v>0</v>
      </c>
      <c r="DC38" s="1">
        <f>$CT38*Table1[[#This Row],[Female% (6-8)]]</f>
        <v>0</v>
      </c>
      <c r="DD38" s="1">
        <f>$CU38*Table1[[#This Row],[Male%(6-8)]]</f>
        <v>0</v>
      </c>
      <c r="DE38" s="1">
        <f>Table1[[#This Row],[Female% (9 - 11)11]]+Table1[[#This Row],[Male% (9 - 11)12]]</f>
        <v>0</v>
      </c>
      <c r="DF38" s="1">
        <f>$CT38*Table1[[#This Row],[Female% (9 - 11)]]</f>
        <v>0</v>
      </c>
      <c r="DG38" s="1">
        <f>$CU38*Table1[[#This Row],[Male% (9 - 11)]]</f>
        <v>0</v>
      </c>
      <c r="DH38" s="1">
        <f>Table1[[#This Row],[Female% (12-14)14]]+Table1[[#This Row],[Male%(12-14)15]]</f>
        <v>0</v>
      </c>
      <c r="DI38" s="1">
        <f>$CT38*Table1[[#This Row],[Female% (12-14)]]</f>
        <v>0</v>
      </c>
      <c r="DJ38" s="1">
        <f>$CU38*Table1[[#This Row],[Male%(12-14)]]</f>
        <v>0</v>
      </c>
      <c r="DK38" s="1">
        <f>Table1[[#This Row],[Female% (15-17)17]]+Table1[[#This Row],[Male%(15-17)18]]</f>
        <v>0</v>
      </c>
      <c r="DL38" s="1">
        <f>$CT38*Table1[[#This Row],[Female% (15-17)]]</f>
        <v>0</v>
      </c>
      <c r="DM38" s="1">
        <f>$CU38*Table1[[#This Row],[Male%(15-17)]]</f>
        <v>0</v>
      </c>
      <c r="DN38" s="1">
        <f>$AF38*Table1[[#This Row],[Total% (18-19)]]</f>
        <v>0</v>
      </c>
      <c r="DO38" s="1">
        <f>$CT38*Table1[[#This Row],[Female% (18-19)]]</f>
        <v>0</v>
      </c>
      <c r="DP38" s="1">
        <f>$CU38*Table1[[#This Row],[Male%(18-19)]]</f>
        <v>0</v>
      </c>
      <c r="DQ38" s="1">
        <f>$AF38*Table1[[#This Row],[Total% (20-24)]]</f>
        <v>0</v>
      </c>
      <c r="DR38" s="1">
        <f>$CT38*Table1[[#This Row],[Female% (20-24)]]</f>
        <v>0</v>
      </c>
      <c r="DS38" s="1">
        <f>$CU38*Table1[[#This Row],[Male% (20-24)]]</f>
        <v>0</v>
      </c>
      <c r="DT38" s="1">
        <f>$AF38*Table1[[#This Row],[Total% (25-29)]]</f>
        <v>0</v>
      </c>
      <c r="DU38" s="1">
        <f>$CT38*Table1[[#This Row],[Female% (25-29)]]</f>
        <v>0</v>
      </c>
      <c r="DV38" s="1">
        <f>$CU38*Table1[[#This Row],[Male% (25-29)]]</f>
        <v>0</v>
      </c>
      <c r="DW38" s="1">
        <f>$AF38*Table1[[#This Row],[Total%   (30-34)]]</f>
        <v>0</v>
      </c>
      <c r="DX38" s="1">
        <f>$CT38*Table1[[#This Row],[Female%   (30-34)]]</f>
        <v>0</v>
      </c>
      <c r="DY38" s="1">
        <f>$CU38*Table1[[#This Row],[Male%  (30-34)]]</f>
        <v>0</v>
      </c>
      <c r="DZ38" s="1">
        <f>$AF38*Table1[[#This Row],[Total% (35-39)]]</f>
        <v>0</v>
      </c>
      <c r="EA38" s="1">
        <f>$CT38*Table1[[#This Row],[Female% (35-39)]]</f>
        <v>0</v>
      </c>
      <c r="EB38" s="1">
        <f>$CU38*Table1[[#This Row],[Male% (35-39)]]</f>
        <v>0</v>
      </c>
      <c r="EC38" s="1">
        <f>$AF38*Table1[[#This Row],[Total% (40-44)]]</f>
        <v>0</v>
      </c>
      <c r="ED38" s="1">
        <f>$CT38*Table1[[#This Row],[Female% (40-44)]]</f>
        <v>0</v>
      </c>
      <c r="EE38" s="1">
        <f>$CU38*Table1[[#This Row],[Male%(55-59)]]</f>
        <v>0</v>
      </c>
      <c r="EF38" s="1">
        <f>$AF38*Table1[[#This Row],[Total% (45-49)]]</f>
        <v>0</v>
      </c>
      <c r="EG38" s="1">
        <f>$CT38*Table1[[#This Row],[Female% (45-49)]]</f>
        <v>0</v>
      </c>
      <c r="EH38" s="1">
        <f>$CU38*Table1[[#This Row],[Male% (45-49)]]</f>
        <v>0</v>
      </c>
      <c r="EI38" s="1">
        <f>$AF38*Table1[[#This Row],[Total% (50-54)]]</f>
        <v>0</v>
      </c>
      <c r="EJ38" s="1">
        <f>$CT38*Table1[[#This Row],[Female%(50-54)]]</f>
        <v>0</v>
      </c>
      <c r="EK38" s="1">
        <f>$CU38*Table1[[#This Row],[Male% (50-54)]]</f>
        <v>0</v>
      </c>
      <c r="EL38" s="1">
        <f>$AF38*Table1[[#This Row],[Total% (55-59)]]</f>
        <v>0</v>
      </c>
      <c r="EM38" s="1">
        <f>$CT38*Table1[[#This Row],[Female% (55-59)]]</f>
        <v>0</v>
      </c>
      <c r="EN38" s="1">
        <f>$CU38*Table1[[#This Row],[Male% (55-59)]]</f>
        <v>0</v>
      </c>
      <c r="EO38" s="1">
        <f>$AF38*Table1[[#This Row],[Total% (60-64)]]</f>
        <v>0</v>
      </c>
      <c r="EP38" s="1">
        <f>$CT38*Table1[[#This Row],[Female%(60-64)]]</f>
        <v>0</v>
      </c>
      <c r="EQ38" s="1">
        <f>$CU38*Table1[[#This Row],[Male%(60-64)]]</f>
        <v>0</v>
      </c>
      <c r="ER38" s="1">
        <f>$AF38*Table1[[#This Row],[Total% (&gt;=65)]]</f>
        <v>0</v>
      </c>
      <c r="ES38" s="1">
        <f>$CT38*Table1[[#This Row],[Female%(&gt;=65)]]</f>
        <v>0</v>
      </c>
      <c r="ET38" s="1">
        <f>$CU38*Table1[[#This Row],[Male% (&gt;=65)]]</f>
        <v>0</v>
      </c>
    </row>
    <row r="39" spans="1:150" hidden="1" x14ac:dyDescent="0.35">
      <c r="A39" t="s">
        <v>54</v>
      </c>
      <c r="B39" t="s">
        <v>55</v>
      </c>
      <c r="C39" t="s">
        <v>507</v>
      </c>
      <c r="D39" t="s">
        <v>508</v>
      </c>
      <c r="E39" t="s">
        <v>626</v>
      </c>
      <c r="F39" t="s">
        <v>627</v>
      </c>
      <c r="H39">
        <v>3</v>
      </c>
      <c r="I39" s="1">
        <v>0</v>
      </c>
      <c r="J39" s="1">
        <v>72</v>
      </c>
      <c r="K39" s="1">
        <v>149</v>
      </c>
      <c r="L39" s="1">
        <v>0</v>
      </c>
      <c r="M39" s="1">
        <v>0</v>
      </c>
      <c r="N39" s="1">
        <v>149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1">
        <v>221</v>
      </c>
      <c r="U39" s="1">
        <v>0</v>
      </c>
      <c r="V39" s="10">
        <f>Table1[[#This Row],[Pop NW+RATAA]]*Table1[[#This Row],[Perc_pop_Northern_Aleppo]]</f>
        <v>0</v>
      </c>
      <c r="W39" s="10">
        <f>Table1[[#This Row],[Pop NW+RATAA]]*Table1[[#This Row],[Perc_pop_Afrin District]]</f>
        <v>0</v>
      </c>
      <c r="X39" s="10">
        <f>Table1[[#This Row],[Pop NW+RATAA]]*Table1[[#This Row],[Perc_pop_Euphrates Shiled]]</f>
        <v>0</v>
      </c>
      <c r="Y39" s="10">
        <f>Table1[[#This Row],[Pop NW+RATAA]]*Table1[[#This Row],[Perc_Pop_Idleb_NSAG]]</f>
        <v>0</v>
      </c>
      <c r="Z39" s="3">
        <v>0</v>
      </c>
      <c r="AA39" s="3">
        <v>0</v>
      </c>
      <c r="AB39" s="3">
        <v>0</v>
      </c>
      <c r="AC39" s="3">
        <v>0</v>
      </c>
      <c r="AD39" s="1">
        <v>149</v>
      </c>
      <c r="AE39" s="1">
        <v>0</v>
      </c>
      <c r="AF39" s="1">
        <v>0</v>
      </c>
      <c r="AG39" s="1">
        <v>0</v>
      </c>
      <c r="AH39" s="1">
        <v>0</v>
      </c>
      <c r="AI39" s="1">
        <f>Table1[[#This Row],[NWS_pin]]*Table1[[#This Row],[Perc_pop_Northern_Aleppo]]</f>
        <v>0</v>
      </c>
      <c r="AJ39" s="1">
        <f>Table1[[#This Row],[NWS_pin]]*Table1[[#This Row],[Perc_pop_Afrin District]]</f>
        <v>0</v>
      </c>
      <c r="AK39" s="1">
        <f>Table1[[#This Row],[NWS_pin]]*Table1[[#This Row],[Perc_pop_Euphrates Shiled]]</f>
        <v>0</v>
      </c>
      <c r="AL39" s="1">
        <f>Table1[[#This Row],[NWS_pin]]*Table1[[#This Row],[Perc_Pop_Idleb_NSAG]]</f>
        <v>0</v>
      </c>
      <c r="AM39" s="4">
        <v>0.447099145638784</v>
      </c>
      <c r="AN39" s="4">
        <v>0.55290085436121605</v>
      </c>
      <c r="AO39" s="4">
        <v>0.133333333333333</v>
      </c>
      <c r="AP39" s="4">
        <v>0.23593250109779801</v>
      </c>
      <c r="AQ39" s="4">
        <v>0.76406749890220205</v>
      </c>
      <c r="AR39" s="4">
        <v>0</v>
      </c>
      <c r="AS39" s="4">
        <v>0</v>
      </c>
      <c r="AT39" s="4">
        <v>0</v>
      </c>
      <c r="AU39" s="4">
        <v>6.7454798331015295E-2</v>
      </c>
      <c r="AV39" s="4">
        <v>4.5106099322297498E-2</v>
      </c>
      <c r="AW39" s="4">
        <v>8.5526906836762201E-2</v>
      </c>
      <c r="AX39" s="4">
        <v>6.9839062189548898E-2</v>
      </c>
      <c r="AY39" s="4">
        <v>4.1217642484168399E-2</v>
      </c>
      <c r="AZ39" s="4">
        <v>9.29835594286227E-2</v>
      </c>
      <c r="BA39" s="4">
        <v>0.11052056427578</v>
      </c>
      <c r="BB39" s="4">
        <v>0.111987556938118</v>
      </c>
      <c r="BC39" s="4">
        <v>0.109334291618004</v>
      </c>
      <c r="BD39" s="4">
        <v>4.7635605006954101E-2</v>
      </c>
      <c r="BE39" s="4">
        <v>4.3550716587045901E-2</v>
      </c>
      <c r="BF39" s="4">
        <v>5.0938819513071602E-2</v>
      </c>
      <c r="BG39" s="4">
        <v>5.5831512020663603E-2</v>
      </c>
      <c r="BH39" s="4">
        <v>4.3550716587045901E-2</v>
      </c>
      <c r="BI39" s="4">
        <v>6.5762285508939006E-2</v>
      </c>
      <c r="BJ39" s="4">
        <v>4.3711504073117399E-2</v>
      </c>
      <c r="BK39" s="4">
        <v>2.7108099100100001E-2</v>
      </c>
      <c r="BL39" s="4">
        <v>5.71377234749798E-2</v>
      </c>
      <c r="BM39" s="4">
        <v>1.8428372739916501E-2</v>
      </c>
      <c r="BN39" s="4">
        <v>4.1217642484168399E-2</v>
      </c>
      <c r="BO39" s="4">
        <v>0</v>
      </c>
      <c r="BP39" s="4">
        <v>0</v>
      </c>
      <c r="BQ39" s="4">
        <v>0</v>
      </c>
      <c r="BR39" s="4">
        <v>0</v>
      </c>
      <c r="BS39" s="4">
        <v>0.19486389827140899</v>
      </c>
      <c r="BT39" s="4">
        <v>0.23075213865126101</v>
      </c>
      <c r="BU39" s="4">
        <v>0.16584314077800699</v>
      </c>
      <c r="BV39" s="4">
        <v>9.5966620305980493E-2</v>
      </c>
      <c r="BW39" s="4">
        <v>8.47683590712143E-2</v>
      </c>
      <c r="BX39" s="4">
        <v>0.10502201060102399</v>
      </c>
      <c r="BY39" s="4">
        <v>5.10629843035963E-2</v>
      </c>
      <c r="BZ39" s="4">
        <v>9.2434173980668805E-2</v>
      </c>
      <c r="CA39" s="4">
        <v>1.7608480819333399E-2</v>
      </c>
      <c r="CB39" s="4">
        <v>4.1327240214583803E-2</v>
      </c>
      <c r="CC39" s="4">
        <v>2.1775358293522999E-2</v>
      </c>
      <c r="CD39" s="4">
        <v>5.71377234749798E-2</v>
      </c>
      <c r="CE39" s="4">
        <v>4.3711504073117399E-2</v>
      </c>
      <c r="CF39" s="4">
        <v>4.8883457393622903E-2</v>
      </c>
      <c r="CG39" s="4">
        <v>3.9529242655646397E-2</v>
      </c>
      <c r="CH39" s="4">
        <v>5.5831512020663603E-2</v>
      </c>
      <c r="CI39" s="4">
        <v>0.103099655593823</v>
      </c>
      <c r="CJ39" s="4">
        <v>1.7608480819333399E-2</v>
      </c>
      <c r="CK39" s="4">
        <v>5.4838068746274601E-2</v>
      </c>
      <c r="CL39" s="4">
        <v>2.3330741028774599E-2</v>
      </c>
      <c r="CM39" s="4">
        <v>8.0316233941245194E-2</v>
      </c>
      <c r="CN39" s="4">
        <v>3.0548380687462701E-2</v>
      </c>
      <c r="CO39" s="4">
        <v>4.1217642484168399E-2</v>
      </c>
      <c r="CP39" s="4">
        <v>2.1920761836312998E-2</v>
      </c>
      <c r="CQ39" s="4">
        <v>1.8428372739916501E-2</v>
      </c>
      <c r="CR39" s="4">
        <v>0</v>
      </c>
      <c r="CS39" s="4">
        <v>3.33303386937382E-2</v>
      </c>
      <c r="CT39" s="1">
        <f>Table1[[#This Row],[Female %]]*Table1[[#This Row],[NWS_pin]]</f>
        <v>0</v>
      </c>
      <c r="CU39" s="1">
        <f>Table1[[#This Row],[Male %]]*Table1[[#This Row],[NWS_pin]]</f>
        <v>0</v>
      </c>
      <c r="CV39" s="1">
        <f>Table1[[#This Row],[Female% (0-2)22]]+Table1[[#This Row],[Male%(0-2)3]]</f>
        <v>0</v>
      </c>
      <c r="CW39" s="1">
        <f>$CT39*Table1[[#This Row],[Female% (0-2)]]</f>
        <v>0</v>
      </c>
      <c r="CX39" s="1">
        <f>$CU39*Table1[[#This Row],[Male%(0-2)]]</f>
        <v>0</v>
      </c>
      <c r="CY39" s="1">
        <f>Table1[[#This Row],[Female%  (3-5)5]]+Table1[[#This Row],[Male% (3-5)6]]</f>
        <v>0</v>
      </c>
      <c r="CZ39" s="1">
        <f>$AF39*Table1[[#This Row],[Female%  (3-5)]]</f>
        <v>0</v>
      </c>
      <c r="DA39" s="1">
        <f>$CU39*Table1[[#This Row],[Male% (3-5)]]</f>
        <v>0</v>
      </c>
      <c r="DB39" s="1">
        <f>Table1[[#This Row],[Female% (6-8)8]]+Table1[[#This Row],[Male%(6-8)9]]</f>
        <v>0</v>
      </c>
      <c r="DC39" s="1">
        <f>$CT39*Table1[[#This Row],[Female% (6-8)]]</f>
        <v>0</v>
      </c>
      <c r="DD39" s="1">
        <f>$CU39*Table1[[#This Row],[Male%(6-8)]]</f>
        <v>0</v>
      </c>
      <c r="DE39" s="1">
        <f>Table1[[#This Row],[Female% (9 - 11)11]]+Table1[[#This Row],[Male% (9 - 11)12]]</f>
        <v>0</v>
      </c>
      <c r="DF39" s="1">
        <f>$CT39*Table1[[#This Row],[Female% (9 - 11)]]</f>
        <v>0</v>
      </c>
      <c r="DG39" s="1">
        <f>$CU39*Table1[[#This Row],[Male% (9 - 11)]]</f>
        <v>0</v>
      </c>
      <c r="DH39" s="1">
        <f>Table1[[#This Row],[Female% (12-14)14]]+Table1[[#This Row],[Male%(12-14)15]]</f>
        <v>0</v>
      </c>
      <c r="DI39" s="1">
        <f>$CT39*Table1[[#This Row],[Female% (12-14)]]</f>
        <v>0</v>
      </c>
      <c r="DJ39" s="1">
        <f>$CU39*Table1[[#This Row],[Male%(12-14)]]</f>
        <v>0</v>
      </c>
      <c r="DK39" s="1">
        <f>Table1[[#This Row],[Female% (15-17)17]]+Table1[[#This Row],[Male%(15-17)18]]</f>
        <v>0</v>
      </c>
      <c r="DL39" s="1">
        <f>$CT39*Table1[[#This Row],[Female% (15-17)]]</f>
        <v>0</v>
      </c>
      <c r="DM39" s="1">
        <f>$CU39*Table1[[#This Row],[Male%(15-17)]]</f>
        <v>0</v>
      </c>
      <c r="DN39" s="1">
        <f>$AF39*Table1[[#This Row],[Total% (18-19)]]</f>
        <v>0</v>
      </c>
      <c r="DO39" s="1">
        <f>$CT39*Table1[[#This Row],[Female% (18-19)]]</f>
        <v>0</v>
      </c>
      <c r="DP39" s="1">
        <f>$CU39*Table1[[#This Row],[Male%(18-19)]]</f>
        <v>0</v>
      </c>
      <c r="DQ39" s="1">
        <f>$AF39*Table1[[#This Row],[Total% (20-24)]]</f>
        <v>0</v>
      </c>
      <c r="DR39" s="1">
        <f>$CT39*Table1[[#This Row],[Female% (20-24)]]</f>
        <v>0</v>
      </c>
      <c r="DS39" s="1">
        <f>$CU39*Table1[[#This Row],[Male% (20-24)]]</f>
        <v>0</v>
      </c>
      <c r="DT39" s="1">
        <f>$AF39*Table1[[#This Row],[Total% (25-29)]]</f>
        <v>0</v>
      </c>
      <c r="DU39" s="1">
        <f>$CT39*Table1[[#This Row],[Female% (25-29)]]</f>
        <v>0</v>
      </c>
      <c r="DV39" s="1">
        <f>$CU39*Table1[[#This Row],[Male% (25-29)]]</f>
        <v>0</v>
      </c>
      <c r="DW39" s="1">
        <f>$AF39*Table1[[#This Row],[Total%   (30-34)]]</f>
        <v>0</v>
      </c>
      <c r="DX39" s="1">
        <f>$CT39*Table1[[#This Row],[Female%   (30-34)]]</f>
        <v>0</v>
      </c>
      <c r="DY39" s="1">
        <f>$CU39*Table1[[#This Row],[Male%  (30-34)]]</f>
        <v>0</v>
      </c>
      <c r="DZ39" s="1">
        <f>$AF39*Table1[[#This Row],[Total% (35-39)]]</f>
        <v>0</v>
      </c>
      <c r="EA39" s="1">
        <f>$CT39*Table1[[#This Row],[Female% (35-39)]]</f>
        <v>0</v>
      </c>
      <c r="EB39" s="1">
        <f>$CU39*Table1[[#This Row],[Male% (35-39)]]</f>
        <v>0</v>
      </c>
      <c r="EC39" s="1">
        <f>$AF39*Table1[[#This Row],[Total% (40-44)]]</f>
        <v>0</v>
      </c>
      <c r="ED39" s="1">
        <f>$CT39*Table1[[#This Row],[Female% (40-44)]]</f>
        <v>0</v>
      </c>
      <c r="EE39" s="1">
        <f>$CU39*Table1[[#This Row],[Male%(55-59)]]</f>
        <v>0</v>
      </c>
      <c r="EF39" s="1">
        <f>$AF39*Table1[[#This Row],[Total% (45-49)]]</f>
        <v>0</v>
      </c>
      <c r="EG39" s="1">
        <f>$CT39*Table1[[#This Row],[Female% (45-49)]]</f>
        <v>0</v>
      </c>
      <c r="EH39" s="1">
        <f>$CU39*Table1[[#This Row],[Male% (45-49)]]</f>
        <v>0</v>
      </c>
      <c r="EI39" s="1">
        <f>$AF39*Table1[[#This Row],[Total% (50-54)]]</f>
        <v>0</v>
      </c>
      <c r="EJ39" s="1">
        <f>$CT39*Table1[[#This Row],[Female%(50-54)]]</f>
        <v>0</v>
      </c>
      <c r="EK39" s="1">
        <f>$CU39*Table1[[#This Row],[Male% (50-54)]]</f>
        <v>0</v>
      </c>
      <c r="EL39" s="1">
        <f>$AF39*Table1[[#This Row],[Total% (55-59)]]</f>
        <v>0</v>
      </c>
      <c r="EM39" s="1">
        <f>$CT39*Table1[[#This Row],[Female% (55-59)]]</f>
        <v>0</v>
      </c>
      <c r="EN39" s="1">
        <f>$CU39*Table1[[#This Row],[Male% (55-59)]]</f>
        <v>0</v>
      </c>
      <c r="EO39" s="1">
        <f>$AF39*Table1[[#This Row],[Total% (60-64)]]</f>
        <v>0</v>
      </c>
      <c r="EP39" s="1">
        <f>$CT39*Table1[[#This Row],[Female%(60-64)]]</f>
        <v>0</v>
      </c>
      <c r="EQ39" s="1">
        <f>$CU39*Table1[[#This Row],[Male%(60-64)]]</f>
        <v>0</v>
      </c>
      <c r="ER39" s="1">
        <f>$AF39*Table1[[#This Row],[Total% (&gt;=65)]]</f>
        <v>0</v>
      </c>
      <c r="ES39" s="1">
        <f>$CT39*Table1[[#This Row],[Female%(&gt;=65)]]</f>
        <v>0</v>
      </c>
      <c r="ET39" s="1">
        <f>$CU39*Table1[[#This Row],[Male% (&gt;=65)]]</f>
        <v>0</v>
      </c>
    </row>
    <row r="40" spans="1:150" hidden="1" x14ac:dyDescent="0.35">
      <c r="A40" t="s">
        <v>54</v>
      </c>
      <c r="B40" t="s">
        <v>55</v>
      </c>
      <c r="C40" t="s">
        <v>507</v>
      </c>
      <c r="D40" t="s">
        <v>508</v>
      </c>
      <c r="E40" t="s">
        <v>597</v>
      </c>
      <c r="F40" t="s">
        <v>598</v>
      </c>
      <c r="H40">
        <v>4</v>
      </c>
      <c r="I40" s="1">
        <v>0</v>
      </c>
      <c r="J40" s="1">
        <v>364</v>
      </c>
      <c r="K40" s="1">
        <v>1340</v>
      </c>
      <c r="L40" s="1">
        <v>568</v>
      </c>
      <c r="M40" s="1">
        <v>0</v>
      </c>
      <c r="N40" s="1">
        <v>1908</v>
      </c>
      <c r="O40" s="3">
        <v>1</v>
      </c>
      <c r="P40" s="3">
        <v>0</v>
      </c>
      <c r="Q40" s="3">
        <v>0</v>
      </c>
      <c r="R40" s="3">
        <v>0</v>
      </c>
      <c r="S40" s="3">
        <v>0</v>
      </c>
      <c r="T40" s="1">
        <v>2272</v>
      </c>
      <c r="U40" s="1">
        <v>0</v>
      </c>
      <c r="V40" s="10">
        <f>Table1[[#This Row],[Pop NW+RATAA]]*Table1[[#This Row],[Perc_pop_Northern_Aleppo]]</f>
        <v>0</v>
      </c>
      <c r="W40" s="10">
        <f>Table1[[#This Row],[Pop NW+RATAA]]*Table1[[#This Row],[Perc_pop_Afrin District]]</f>
        <v>0</v>
      </c>
      <c r="X40" s="10">
        <f>Table1[[#This Row],[Pop NW+RATAA]]*Table1[[#This Row],[Perc_pop_Euphrates Shiled]]</f>
        <v>0</v>
      </c>
      <c r="Y40" s="10">
        <f>Table1[[#This Row],[Pop NW+RATAA]]*Table1[[#This Row],[Perc_Pop_Idleb_NSAG]]</f>
        <v>0</v>
      </c>
      <c r="Z40" s="3">
        <v>0</v>
      </c>
      <c r="AA40" s="3">
        <v>0</v>
      </c>
      <c r="AB40" s="3">
        <v>0</v>
      </c>
      <c r="AC40" s="3">
        <v>0</v>
      </c>
      <c r="AD40" s="1">
        <v>1908</v>
      </c>
      <c r="AE40" s="1">
        <v>0</v>
      </c>
      <c r="AF40" s="1">
        <v>0</v>
      </c>
      <c r="AG40" s="1">
        <v>0</v>
      </c>
      <c r="AH40" s="1">
        <v>0</v>
      </c>
      <c r="AI40" s="1">
        <f>Table1[[#This Row],[NWS_pin]]*Table1[[#This Row],[Perc_pop_Northern_Aleppo]]</f>
        <v>0</v>
      </c>
      <c r="AJ40" s="1">
        <f>Table1[[#This Row],[NWS_pin]]*Table1[[#This Row],[Perc_pop_Afrin District]]</f>
        <v>0</v>
      </c>
      <c r="AK40" s="1">
        <f>Table1[[#This Row],[NWS_pin]]*Table1[[#This Row],[Perc_pop_Euphrates Shiled]]</f>
        <v>0</v>
      </c>
      <c r="AL40" s="1">
        <f>Table1[[#This Row],[NWS_pin]]*Table1[[#This Row],[Perc_Pop_Idleb_NSAG]]</f>
        <v>0</v>
      </c>
      <c r="AM40" s="4">
        <v>0.459280693155106</v>
      </c>
      <c r="AN40" s="4">
        <v>0.540719306844894</v>
      </c>
      <c r="AO40" s="4">
        <v>0.25678937432578203</v>
      </c>
      <c r="AP40" s="4">
        <v>0.378654953301863</v>
      </c>
      <c r="AQ40" s="4">
        <v>0.596005744243292</v>
      </c>
      <c r="AR40" s="4">
        <v>0</v>
      </c>
      <c r="AS40" s="4">
        <v>0</v>
      </c>
      <c r="AT40" s="4">
        <v>2.5339302454845301E-2</v>
      </c>
      <c r="AU40" s="4">
        <v>7.0899917289169806E-2</v>
      </c>
      <c r="AV40" s="4">
        <v>5.8905072107049102E-2</v>
      </c>
      <c r="AW40" s="4">
        <v>8.1088199341974004E-2</v>
      </c>
      <c r="AX40" s="4">
        <v>0.12157477474190299</v>
      </c>
      <c r="AY40" s="4">
        <v>0.103195595044526</v>
      </c>
      <c r="AZ40" s="4">
        <v>0.13718583631151501</v>
      </c>
      <c r="BA40" s="4">
        <v>6.9621185142134001E-2</v>
      </c>
      <c r="BB40" s="4">
        <v>4.2235909288138598E-2</v>
      </c>
      <c r="BC40" s="4">
        <v>9.2881920087695496E-2</v>
      </c>
      <c r="BD40" s="4">
        <v>6.3891184343508198E-2</v>
      </c>
      <c r="BE40" s="4">
        <v>5.0077002412316697E-2</v>
      </c>
      <c r="BF40" s="4">
        <v>7.5624789880453305E-2</v>
      </c>
      <c r="BG40" s="4">
        <v>7.4938469508968E-2</v>
      </c>
      <c r="BH40" s="4">
        <v>6.0085998693624E-2</v>
      </c>
      <c r="BI40" s="4">
        <v>8.7553985553587205E-2</v>
      </c>
      <c r="BJ40" s="4">
        <v>7.1968847262714603E-2</v>
      </c>
      <c r="BK40" s="4">
        <v>7.4089716778257195E-2</v>
      </c>
      <c r="BL40" s="4">
        <v>7.0167405352172002E-2</v>
      </c>
      <c r="BM40" s="4">
        <v>3.39030632048129E-2</v>
      </c>
      <c r="BN40" s="4">
        <v>6.5185850525539699E-2</v>
      </c>
      <c r="BO40" s="4">
        <v>7.3318273295447404E-3</v>
      </c>
      <c r="BP40" s="4">
        <v>5.1083385287450399E-2</v>
      </c>
      <c r="BQ40" s="4">
        <v>8.0092439374406799E-2</v>
      </c>
      <c r="BR40" s="4">
        <v>2.6443431987885398E-2</v>
      </c>
      <c r="BS40" s="4">
        <v>8.5176331559664101E-2</v>
      </c>
      <c r="BT40" s="4">
        <v>0.103380019824651</v>
      </c>
      <c r="BU40" s="4">
        <v>6.9714330372566399E-2</v>
      </c>
      <c r="BV40" s="4">
        <v>6.0647162448873498E-2</v>
      </c>
      <c r="BW40" s="4">
        <v>6.7862441812461899E-2</v>
      </c>
      <c r="BX40" s="4">
        <v>5.4518588037959802E-2</v>
      </c>
      <c r="BY40" s="4">
        <v>3.7065547076387199E-2</v>
      </c>
      <c r="BZ40" s="4">
        <v>3.6028090123323399E-2</v>
      </c>
      <c r="CA40" s="4">
        <v>3.7946750951466102E-2</v>
      </c>
      <c r="CB40" s="4">
        <v>2.4197432222449099E-2</v>
      </c>
      <c r="CC40" s="4">
        <v>2.5959713116108001E-2</v>
      </c>
      <c r="CD40" s="4">
        <v>2.2700571318598001E-2</v>
      </c>
      <c r="CE40" s="4">
        <v>2.8651958671764201E-2</v>
      </c>
      <c r="CF40" s="4">
        <v>2.7792814364704301E-2</v>
      </c>
      <c r="CG40" s="4">
        <v>2.9381705858283601E-2</v>
      </c>
      <c r="CH40" s="4">
        <v>4.25872349804821E-2</v>
      </c>
      <c r="CI40" s="4">
        <v>7.0646850663148894E-2</v>
      </c>
      <c r="CJ40" s="4">
        <v>1.8753723623918198E-2</v>
      </c>
      <c r="CK40" s="4">
        <v>5.7085737975887403E-2</v>
      </c>
      <c r="CL40" s="4">
        <v>5.9449834534492603E-2</v>
      </c>
      <c r="CM40" s="4">
        <v>5.5077701842579499E-2</v>
      </c>
      <c r="CN40" s="4">
        <v>5.7141399777017703E-2</v>
      </c>
      <c r="CO40" s="4">
        <v>7.5012651337251907E-2</v>
      </c>
      <c r="CP40" s="4">
        <v>4.1961766462226303E-2</v>
      </c>
      <c r="CQ40" s="4">
        <v>4.95663685068135E-2</v>
      </c>
      <c r="CR40" s="4">
        <v>0</v>
      </c>
      <c r="CS40" s="4">
        <v>9.1667465687574806E-2</v>
      </c>
      <c r="CT40" s="1">
        <f>Table1[[#This Row],[Female %]]*Table1[[#This Row],[NWS_pin]]</f>
        <v>0</v>
      </c>
      <c r="CU40" s="1">
        <f>Table1[[#This Row],[Male %]]*Table1[[#This Row],[NWS_pin]]</f>
        <v>0</v>
      </c>
      <c r="CV40" s="1">
        <f>Table1[[#This Row],[Female% (0-2)22]]+Table1[[#This Row],[Male%(0-2)3]]</f>
        <v>0</v>
      </c>
      <c r="CW40" s="1">
        <f>$CT40*Table1[[#This Row],[Female% (0-2)]]</f>
        <v>0</v>
      </c>
      <c r="CX40" s="1">
        <f>$CU40*Table1[[#This Row],[Male%(0-2)]]</f>
        <v>0</v>
      </c>
      <c r="CY40" s="1">
        <f>Table1[[#This Row],[Female%  (3-5)5]]+Table1[[#This Row],[Male% (3-5)6]]</f>
        <v>0</v>
      </c>
      <c r="CZ40" s="1">
        <f>$AF40*Table1[[#This Row],[Female%  (3-5)]]</f>
        <v>0</v>
      </c>
      <c r="DA40" s="1">
        <f>$CU40*Table1[[#This Row],[Male% (3-5)]]</f>
        <v>0</v>
      </c>
      <c r="DB40" s="1">
        <f>Table1[[#This Row],[Female% (6-8)8]]+Table1[[#This Row],[Male%(6-8)9]]</f>
        <v>0</v>
      </c>
      <c r="DC40" s="1">
        <f>$CT40*Table1[[#This Row],[Female% (6-8)]]</f>
        <v>0</v>
      </c>
      <c r="DD40" s="1">
        <f>$CU40*Table1[[#This Row],[Male%(6-8)]]</f>
        <v>0</v>
      </c>
      <c r="DE40" s="1">
        <f>Table1[[#This Row],[Female% (9 - 11)11]]+Table1[[#This Row],[Male% (9 - 11)12]]</f>
        <v>0</v>
      </c>
      <c r="DF40" s="1">
        <f>$CT40*Table1[[#This Row],[Female% (9 - 11)]]</f>
        <v>0</v>
      </c>
      <c r="DG40" s="1">
        <f>$CU40*Table1[[#This Row],[Male% (9 - 11)]]</f>
        <v>0</v>
      </c>
      <c r="DH40" s="1">
        <f>Table1[[#This Row],[Female% (12-14)14]]+Table1[[#This Row],[Male%(12-14)15]]</f>
        <v>0</v>
      </c>
      <c r="DI40" s="1">
        <f>$CT40*Table1[[#This Row],[Female% (12-14)]]</f>
        <v>0</v>
      </c>
      <c r="DJ40" s="1">
        <f>$CU40*Table1[[#This Row],[Male%(12-14)]]</f>
        <v>0</v>
      </c>
      <c r="DK40" s="1">
        <f>Table1[[#This Row],[Female% (15-17)17]]+Table1[[#This Row],[Male%(15-17)18]]</f>
        <v>0</v>
      </c>
      <c r="DL40" s="1">
        <f>$CT40*Table1[[#This Row],[Female% (15-17)]]</f>
        <v>0</v>
      </c>
      <c r="DM40" s="1">
        <f>$CU40*Table1[[#This Row],[Male%(15-17)]]</f>
        <v>0</v>
      </c>
      <c r="DN40" s="1">
        <f>$AF40*Table1[[#This Row],[Total% (18-19)]]</f>
        <v>0</v>
      </c>
      <c r="DO40" s="1">
        <f>$CT40*Table1[[#This Row],[Female% (18-19)]]</f>
        <v>0</v>
      </c>
      <c r="DP40" s="1">
        <f>$CU40*Table1[[#This Row],[Male%(18-19)]]</f>
        <v>0</v>
      </c>
      <c r="DQ40" s="1">
        <f>$AF40*Table1[[#This Row],[Total% (20-24)]]</f>
        <v>0</v>
      </c>
      <c r="DR40" s="1">
        <f>$CT40*Table1[[#This Row],[Female% (20-24)]]</f>
        <v>0</v>
      </c>
      <c r="DS40" s="1">
        <f>$CU40*Table1[[#This Row],[Male% (20-24)]]</f>
        <v>0</v>
      </c>
      <c r="DT40" s="1">
        <f>$AF40*Table1[[#This Row],[Total% (25-29)]]</f>
        <v>0</v>
      </c>
      <c r="DU40" s="1">
        <f>$CT40*Table1[[#This Row],[Female% (25-29)]]</f>
        <v>0</v>
      </c>
      <c r="DV40" s="1">
        <f>$CU40*Table1[[#This Row],[Male% (25-29)]]</f>
        <v>0</v>
      </c>
      <c r="DW40" s="1">
        <f>$AF40*Table1[[#This Row],[Total%   (30-34)]]</f>
        <v>0</v>
      </c>
      <c r="DX40" s="1">
        <f>$CT40*Table1[[#This Row],[Female%   (30-34)]]</f>
        <v>0</v>
      </c>
      <c r="DY40" s="1">
        <f>$CU40*Table1[[#This Row],[Male%  (30-34)]]</f>
        <v>0</v>
      </c>
      <c r="DZ40" s="1">
        <f>$AF40*Table1[[#This Row],[Total% (35-39)]]</f>
        <v>0</v>
      </c>
      <c r="EA40" s="1">
        <f>$CT40*Table1[[#This Row],[Female% (35-39)]]</f>
        <v>0</v>
      </c>
      <c r="EB40" s="1">
        <f>$CU40*Table1[[#This Row],[Male% (35-39)]]</f>
        <v>0</v>
      </c>
      <c r="EC40" s="1">
        <f>$AF40*Table1[[#This Row],[Total% (40-44)]]</f>
        <v>0</v>
      </c>
      <c r="ED40" s="1">
        <f>$CT40*Table1[[#This Row],[Female% (40-44)]]</f>
        <v>0</v>
      </c>
      <c r="EE40" s="1">
        <f>$CU40*Table1[[#This Row],[Male%(55-59)]]</f>
        <v>0</v>
      </c>
      <c r="EF40" s="1">
        <f>$AF40*Table1[[#This Row],[Total% (45-49)]]</f>
        <v>0</v>
      </c>
      <c r="EG40" s="1">
        <f>$CT40*Table1[[#This Row],[Female% (45-49)]]</f>
        <v>0</v>
      </c>
      <c r="EH40" s="1">
        <f>$CU40*Table1[[#This Row],[Male% (45-49)]]</f>
        <v>0</v>
      </c>
      <c r="EI40" s="1">
        <f>$AF40*Table1[[#This Row],[Total% (50-54)]]</f>
        <v>0</v>
      </c>
      <c r="EJ40" s="1">
        <f>$CT40*Table1[[#This Row],[Female%(50-54)]]</f>
        <v>0</v>
      </c>
      <c r="EK40" s="1">
        <f>$CU40*Table1[[#This Row],[Male% (50-54)]]</f>
        <v>0</v>
      </c>
      <c r="EL40" s="1">
        <f>$AF40*Table1[[#This Row],[Total% (55-59)]]</f>
        <v>0</v>
      </c>
      <c r="EM40" s="1">
        <f>$CT40*Table1[[#This Row],[Female% (55-59)]]</f>
        <v>0</v>
      </c>
      <c r="EN40" s="1">
        <f>$CU40*Table1[[#This Row],[Male% (55-59)]]</f>
        <v>0</v>
      </c>
      <c r="EO40" s="1">
        <f>$AF40*Table1[[#This Row],[Total% (60-64)]]</f>
        <v>0</v>
      </c>
      <c r="EP40" s="1">
        <f>$CT40*Table1[[#This Row],[Female%(60-64)]]</f>
        <v>0</v>
      </c>
      <c r="EQ40" s="1">
        <f>$CU40*Table1[[#This Row],[Male%(60-64)]]</f>
        <v>0</v>
      </c>
      <c r="ER40" s="1">
        <f>$AF40*Table1[[#This Row],[Total% (&gt;=65)]]</f>
        <v>0</v>
      </c>
      <c r="ES40" s="1">
        <f>$CT40*Table1[[#This Row],[Female%(&gt;=65)]]</f>
        <v>0</v>
      </c>
      <c r="ET40" s="1">
        <f>$CU40*Table1[[#This Row],[Male% (&gt;=65)]]</f>
        <v>0</v>
      </c>
    </row>
    <row r="41" spans="1:150" hidden="1" x14ac:dyDescent="0.35">
      <c r="A41" t="s">
        <v>54</v>
      </c>
      <c r="B41" t="s">
        <v>55</v>
      </c>
      <c r="C41" t="s">
        <v>507</v>
      </c>
      <c r="D41" t="s">
        <v>508</v>
      </c>
      <c r="E41" t="s">
        <v>618</v>
      </c>
      <c r="F41" t="s">
        <v>619</v>
      </c>
      <c r="H41">
        <v>4</v>
      </c>
      <c r="I41" s="1">
        <v>0</v>
      </c>
      <c r="J41" s="1">
        <v>207</v>
      </c>
      <c r="K41" s="1">
        <v>212</v>
      </c>
      <c r="L41" s="1">
        <v>140</v>
      </c>
      <c r="M41" s="1">
        <v>0</v>
      </c>
      <c r="N41" s="1">
        <v>352</v>
      </c>
      <c r="O41" s="3">
        <v>1</v>
      </c>
      <c r="P41" s="3">
        <v>0</v>
      </c>
      <c r="Q41" s="3">
        <v>0</v>
      </c>
      <c r="R41" s="3">
        <v>0</v>
      </c>
      <c r="S41" s="3">
        <v>0</v>
      </c>
      <c r="T41" s="1">
        <v>559</v>
      </c>
      <c r="U41" s="1">
        <v>0</v>
      </c>
      <c r="V41" s="10">
        <f>Table1[[#This Row],[Pop NW+RATAA]]*Table1[[#This Row],[Perc_pop_Northern_Aleppo]]</f>
        <v>0</v>
      </c>
      <c r="W41" s="10">
        <f>Table1[[#This Row],[Pop NW+RATAA]]*Table1[[#This Row],[Perc_pop_Afrin District]]</f>
        <v>0</v>
      </c>
      <c r="X41" s="10">
        <f>Table1[[#This Row],[Pop NW+RATAA]]*Table1[[#This Row],[Perc_pop_Euphrates Shiled]]</f>
        <v>0</v>
      </c>
      <c r="Y41" s="10">
        <f>Table1[[#This Row],[Pop NW+RATAA]]*Table1[[#This Row],[Perc_Pop_Idleb_NSAG]]</f>
        <v>0</v>
      </c>
      <c r="Z41" s="3">
        <v>0</v>
      </c>
      <c r="AA41" s="3">
        <v>0</v>
      </c>
      <c r="AB41" s="3">
        <v>0</v>
      </c>
      <c r="AC41" s="3">
        <v>0</v>
      </c>
      <c r="AD41" s="1">
        <v>352</v>
      </c>
      <c r="AE41" s="1">
        <v>0</v>
      </c>
      <c r="AF41" s="1">
        <v>0</v>
      </c>
      <c r="AG41" s="1">
        <v>0</v>
      </c>
      <c r="AH41" s="1">
        <v>0</v>
      </c>
      <c r="AI41" s="1">
        <f>Table1[[#This Row],[NWS_pin]]*Table1[[#This Row],[Perc_pop_Northern_Aleppo]]</f>
        <v>0</v>
      </c>
      <c r="AJ41" s="1">
        <f>Table1[[#This Row],[NWS_pin]]*Table1[[#This Row],[Perc_pop_Afrin District]]</f>
        <v>0</v>
      </c>
      <c r="AK41" s="1">
        <f>Table1[[#This Row],[NWS_pin]]*Table1[[#This Row],[Perc_pop_Euphrates Shiled]]</f>
        <v>0</v>
      </c>
      <c r="AL41" s="1">
        <f>Table1[[#This Row],[NWS_pin]]*Table1[[#This Row],[Perc_Pop_Idleb_NSAG]]</f>
        <v>0</v>
      </c>
      <c r="AM41" s="4">
        <v>0.48142728675629798</v>
      </c>
      <c r="AN41" s="4">
        <v>0.51857271324370202</v>
      </c>
      <c r="AO41" s="4">
        <v>0.33317805383022803</v>
      </c>
      <c r="AP41" s="4">
        <v>0.31149212482223798</v>
      </c>
      <c r="AQ41" s="4">
        <v>0.64866242721833201</v>
      </c>
      <c r="AR41" s="4">
        <v>0</v>
      </c>
      <c r="AS41" s="4">
        <v>0</v>
      </c>
      <c r="AT41" s="4">
        <v>3.9845447959430097E-2</v>
      </c>
      <c r="AU41" s="4">
        <v>4.0675896217512497E-2</v>
      </c>
      <c r="AV41" s="4">
        <v>2.63123910376445E-2</v>
      </c>
      <c r="AW41" s="4">
        <v>5.4010541775317202E-2</v>
      </c>
      <c r="AX41" s="4">
        <v>8.1700398565607901E-2</v>
      </c>
      <c r="AY41" s="4">
        <v>7.0769032091431497E-2</v>
      </c>
      <c r="AZ41" s="4">
        <v>9.1848749930420803E-2</v>
      </c>
      <c r="BA41" s="4">
        <v>6.6819135590021395E-2</v>
      </c>
      <c r="BB41" s="4">
        <v>7.1866726932265798E-2</v>
      </c>
      <c r="BC41" s="4">
        <v>6.2133103829207802E-2</v>
      </c>
      <c r="BD41" s="4">
        <v>6.6381712610882299E-2</v>
      </c>
      <c r="BE41" s="4">
        <v>5.2495641505778998E-2</v>
      </c>
      <c r="BF41" s="4">
        <v>7.9273122754734596E-2</v>
      </c>
      <c r="BG41" s="4">
        <v>5.6665149378837203E-2</v>
      </c>
      <c r="BH41" s="4">
        <v>3.72201569980352E-2</v>
      </c>
      <c r="BI41" s="4">
        <v>7.4717294591666802E-2</v>
      </c>
      <c r="BJ41" s="4">
        <v>5.9240837986966097E-2</v>
      </c>
      <c r="BK41" s="4">
        <v>5.6498999160586302E-2</v>
      </c>
      <c r="BL41" s="4">
        <v>6.1786278564914199E-2</v>
      </c>
      <c r="BM41" s="4">
        <v>3.1823076837676101E-2</v>
      </c>
      <c r="BN41" s="4">
        <v>4.6213875231761202E-2</v>
      </c>
      <c r="BO41" s="4">
        <v>1.8463093081906402E-2</v>
      </c>
      <c r="BP41" s="4">
        <v>5.5499428241537398E-2</v>
      </c>
      <c r="BQ41" s="4">
        <v>6.3901521091422303E-2</v>
      </c>
      <c r="BR41" s="4">
        <v>4.7699178323849199E-2</v>
      </c>
      <c r="BS41" s="4">
        <v>0.10191733371820599</v>
      </c>
      <c r="BT41" s="4">
        <v>0.112444538737559</v>
      </c>
      <c r="BU41" s="4">
        <v>9.2144193674078501E-2</v>
      </c>
      <c r="BV41" s="4">
        <v>7.4286412132381505E-2</v>
      </c>
      <c r="BW41" s="4">
        <v>9.50612956488852E-2</v>
      </c>
      <c r="BX41" s="4">
        <v>5.4999636047562098E-2</v>
      </c>
      <c r="BY41" s="4">
        <v>3.3952460781810301E-2</v>
      </c>
      <c r="BZ41" s="4">
        <v>9.6855427132433603E-3</v>
      </c>
      <c r="CA41" s="4">
        <v>5.6481136559236499E-2</v>
      </c>
      <c r="CB41" s="4">
        <v>5.2157694314611501E-2</v>
      </c>
      <c r="CC41" s="4">
        <v>6.9828150799287905E-2</v>
      </c>
      <c r="CD41" s="4">
        <v>3.5752974775955203E-2</v>
      </c>
      <c r="CE41" s="4">
        <v>3.1574389661718799E-2</v>
      </c>
      <c r="CF41" s="4">
        <v>3.9433995332490902E-2</v>
      </c>
      <c r="CG41" s="4">
        <v>2.4277768500558801E-2</v>
      </c>
      <c r="CH41" s="4">
        <v>5.2206543581317398E-2</v>
      </c>
      <c r="CI41" s="4">
        <v>6.3841562969864096E-2</v>
      </c>
      <c r="CJ41" s="4">
        <v>4.1404942045926499E-2</v>
      </c>
      <c r="CK41" s="4">
        <v>8.1815860468730905E-2</v>
      </c>
      <c r="CL41" s="4">
        <v>9.1445359702607698E-2</v>
      </c>
      <c r="CM41" s="4">
        <v>7.28761234355398E-2</v>
      </c>
      <c r="CN41" s="4">
        <v>3.9128262631421197E-2</v>
      </c>
      <c r="CO41" s="4">
        <v>4.0356427971847297E-2</v>
      </c>
      <c r="CP41" s="4">
        <v>3.7988070923625702E-2</v>
      </c>
      <c r="CQ41" s="4">
        <v>7.4155407280761101E-2</v>
      </c>
      <c r="CR41" s="4">
        <v>5.2624782075288999E-2</v>
      </c>
      <c r="CS41" s="4">
        <v>9.4143791185500106E-2</v>
      </c>
      <c r="CT41" s="1">
        <f>Table1[[#This Row],[Female %]]*Table1[[#This Row],[NWS_pin]]</f>
        <v>0</v>
      </c>
      <c r="CU41" s="1">
        <f>Table1[[#This Row],[Male %]]*Table1[[#This Row],[NWS_pin]]</f>
        <v>0</v>
      </c>
      <c r="CV41" s="1">
        <f>Table1[[#This Row],[Female% (0-2)22]]+Table1[[#This Row],[Male%(0-2)3]]</f>
        <v>0</v>
      </c>
      <c r="CW41" s="1">
        <f>$CT41*Table1[[#This Row],[Female% (0-2)]]</f>
        <v>0</v>
      </c>
      <c r="CX41" s="1">
        <f>$CU41*Table1[[#This Row],[Male%(0-2)]]</f>
        <v>0</v>
      </c>
      <c r="CY41" s="1">
        <f>Table1[[#This Row],[Female%  (3-5)5]]+Table1[[#This Row],[Male% (3-5)6]]</f>
        <v>0</v>
      </c>
      <c r="CZ41" s="1">
        <f>$AF41*Table1[[#This Row],[Female%  (3-5)]]</f>
        <v>0</v>
      </c>
      <c r="DA41" s="1">
        <f>$CU41*Table1[[#This Row],[Male% (3-5)]]</f>
        <v>0</v>
      </c>
      <c r="DB41" s="1">
        <f>Table1[[#This Row],[Female% (6-8)8]]+Table1[[#This Row],[Male%(6-8)9]]</f>
        <v>0</v>
      </c>
      <c r="DC41" s="1">
        <f>$CT41*Table1[[#This Row],[Female% (6-8)]]</f>
        <v>0</v>
      </c>
      <c r="DD41" s="1">
        <f>$CU41*Table1[[#This Row],[Male%(6-8)]]</f>
        <v>0</v>
      </c>
      <c r="DE41" s="1">
        <f>Table1[[#This Row],[Female% (9 - 11)11]]+Table1[[#This Row],[Male% (9 - 11)12]]</f>
        <v>0</v>
      </c>
      <c r="DF41" s="1">
        <f>$CT41*Table1[[#This Row],[Female% (9 - 11)]]</f>
        <v>0</v>
      </c>
      <c r="DG41" s="1">
        <f>$CU41*Table1[[#This Row],[Male% (9 - 11)]]</f>
        <v>0</v>
      </c>
      <c r="DH41" s="1">
        <f>Table1[[#This Row],[Female% (12-14)14]]+Table1[[#This Row],[Male%(12-14)15]]</f>
        <v>0</v>
      </c>
      <c r="DI41" s="1">
        <f>$CT41*Table1[[#This Row],[Female% (12-14)]]</f>
        <v>0</v>
      </c>
      <c r="DJ41" s="1">
        <f>$CU41*Table1[[#This Row],[Male%(12-14)]]</f>
        <v>0</v>
      </c>
      <c r="DK41" s="1">
        <f>Table1[[#This Row],[Female% (15-17)17]]+Table1[[#This Row],[Male%(15-17)18]]</f>
        <v>0</v>
      </c>
      <c r="DL41" s="1">
        <f>$CT41*Table1[[#This Row],[Female% (15-17)]]</f>
        <v>0</v>
      </c>
      <c r="DM41" s="1">
        <f>$CU41*Table1[[#This Row],[Male%(15-17)]]</f>
        <v>0</v>
      </c>
      <c r="DN41" s="1">
        <f>$AF41*Table1[[#This Row],[Total% (18-19)]]</f>
        <v>0</v>
      </c>
      <c r="DO41" s="1">
        <f>$CT41*Table1[[#This Row],[Female% (18-19)]]</f>
        <v>0</v>
      </c>
      <c r="DP41" s="1">
        <f>$CU41*Table1[[#This Row],[Male%(18-19)]]</f>
        <v>0</v>
      </c>
      <c r="DQ41" s="1">
        <f>$AF41*Table1[[#This Row],[Total% (20-24)]]</f>
        <v>0</v>
      </c>
      <c r="DR41" s="1">
        <f>$CT41*Table1[[#This Row],[Female% (20-24)]]</f>
        <v>0</v>
      </c>
      <c r="DS41" s="1">
        <f>$CU41*Table1[[#This Row],[Male% (20-24)]]</f>
        <v>0</v>
      </c>
      <c r="DT41" s="1">
        <f>$AF41*Table1[[#This Row],[Total% (25-29)]]</f>
        <v>0</v>
      </c>
      <c r="DU41" s="1">
        <f>$CT41*Table1[[#This Row],[Female% (25-29)]]</f>
        <v>0</v>
      </c>
      <c r="DV41" s="1">
        <f>$CU41*Table1[[#This Row],[Male% (25-29)]]</f>
        <v>0</v>
      </c>
      <c r="DW41" s="1">
        <f>$AF41*Table1[[#This Row],[Total%   (30-34)]]</f>
        <v>0</v>
      </c>
      <c r="DX41" s="1">
        <f>$CT41*Table1[[#This Row],[Female%   (30-34)]]</f>
        <v>0</v>
      </c>
      <c r="DY41" s="1">
        <f>$CU41*Table1[[#This Row],[Male%  (30-34)]]</f>
        <v>0</v>
      </c>
      <c r="DZ41" s="1">
        <f>$AF41*Table1[[#This Row],[Total% (35-39)]]</f>
        <v>0</v>
      </c>
      <c r="EA41" s="1">
        <f>$CT41*Table1[[#This Row],[Female% (35-39)]]</f>
        <v>0</v>
      </c>
      <c r="EB41" s="1">
        <f>$CU41*Table1[[#This Row],[Male% (35-39)]]</f>
        <v>0</v>
      </c>
      <c r="EC41" s="1">
        <f>$AF41*Table1[[#This Row],[Total% (40-44)]]</f>
        <v>0</v>
      </c>
      <c r="ED41" s="1">
        <f>$CT41*Table1[[#This Row],[Female% (40-44)]]</f>
        <v>0</v>
      </c>
      <c r="EE41" s="1">
        <f>$CU41*Table1[[#This Row],[Male%(55-59)]]</f>
        <v>0</v>
      </c>
      <c r="EF41" s="1">
        <f>$AF41*Table1[[#This Row],[Total% (45-49)]]</f>
        <v>0</v>
      </c>
      <c r="EG41" s="1">
        <f>$CT41*Table1[[#This Row],[Female% (45-49)]]</f>
        <v>0</v>
      </c>
      <c r="EH41" s="1">
        <f>$CU41*Table1[[#This Row],[Male% (45-49)]]</f>
        <v>0</v>
      </c>
      <c r="EI41" s="1">
        <f>$AF41*Table1[[#This Row],[Total% (50-54)]]</f>
        <v>0</v>
      </c>
      <c r="EJ41" s="1">
        <f>$CT41*Table1[[#This Row],[Female%(50-54)]]</f>
        <v>0</v>
      </c>
      <c r="EK41" s="1">
        <f>$CU41*Table1[[#This Row],[Male% (50-54)]]</f>
        <v>0</v>
      </c>
      <c r="EL41" s="1">
        <f>$AF41*Table1[[#This Row],[Total% (55-59)]]</f>
        <v>0</v>
      </c>
      <c r="EM41" s="1">
        <f>$CT41*Table1[[#This Row],[Female% (55-59)]]</f>
        <v>0</v>
      </c>
      <c r="EN41" s="1">
        <f>$CU41*Table1[[#This Row],[Male% (55-59)]]</f>
        <v>0</v>
      </c>
      <c r="EO41" s="1">
        <f>$AF41*Table1[[#This Row],[Total% (60-64)]]</f>
        <v>0</v>
      </c>
      <c r="EP41" s="1">
        <f>$CT41*Table1[[#This Row],[Female%(60-64)]]</f>
        <v>0</v>
      </c>
      <c r="EQ41" s="1">
        <f>$CU41*Table1[[#This Row],[Male%(60-64)]]</f>
        <v>0</v>
      </c>
      <c r="ER41" s="1">
        <f>$AF41*Table1[[#This Row],[Total% (&gt;=65)]]</f>
        <v>0</v>
      </c>
      <c r="ES41" s="1">
        <f>$CT41*Table1[[#This Row],[Female%(&gt;=65)]]</f>
        <v>0</v>
      </c>
      <c r="ET41" s="1">
        <f>$CU41*Table1[[#This Row],[Male% (&gt;=65)]]</f>
        <v>0</v>
      </c>
    </row>
    <row r="42" spans="1:150" x14ac:dyDescent="0.35">
      <c r="A42" t="s">
        <v>54</v>
      </c>
      <c r="B42" t="s">
        <v>55</v>
      </c>
      <c r="C42" t="s">
        <v>383</v>
      </c>
      <c r="D42" t="s">
        <v>384</v>
      </c>
      <c r="E42" t="s">
        <v>383</v>
      </c>
      <c r="F42" t="s">
        <v>385</v>
      </c>
      <c r="G42" t="s">
        <v>1143</v>
      </c>
      <c r="H42">
        <v>4</v>
      </c>
      <c r="I42" s="1">
        <v>0</v>
      </c>
      <c r="J42" s="1">
        <v>0</v>
      </c>
      <c r="K42" s="1">
        <v>48440</v>
      </c>
      <c r="L42" s="1">
        <v>40107</v>
      </c>
      <c r="M42" s="1">
        <v>0</v>
      </c>
      <c r="N42" s="1">
        <v>88547</v>
      </c>
      <c r="O42" s="3">
        <v>0</v>
      </c>
      <c r="P42" s="3">
        <v>0.04</v>
      </c>
      <c r="Q42" s="3">
        <v>0.96</v>
      </c>
      <c r="R42" s="3">
        <v>0</v>
      </c>
      <c r="S42" s="3">
        <v>0</v>
      </c>
      <c r="T42" s="1">
        <v>88547</v>
      </c>
      <c r="U42" s="1">
        <v>87796</v>
      </c>
      <c r="V42" s="10">
        <f>Table1[[#This Row],[Pop NW+RATAA]]*Table1[[#This Row],[Perc_pop_Northern_Aleppo]]</f>
        <v>87796</v>
      </c>
      <c r="W42" s="10">
        <f>Table1[[#This Row],[Pop NW+RATAA]]*Table1[[#This Row],[Perc_pop_Afrin District]]</f>
        <v>0</v>
      </c>
      <c r="X42" s="10">
        <f>Table1[[#This Row],[Pop NW+RATAA]]*Table1[[#This Row],[Perc_pop_Euphrates Shiled]]</f>
        <v>87796</v>
      </c>
      <c r="Y42" s="10">
        <f>Table1[[#This Row],[Pop NW+RATAA]]*Table1[[#This Row],[Perc_Pop_Idleb_NSAG]]</f>
        <v>0</v>
      </c>
      <c r="Z42" s="3">
        <v>1</v>
      </c>
      <c r="AA42" s="3">
        <v>0</v>
      </c>
      <c r="AB42" s="3">
        <v>1</v>
      </c>
      <c r="AC42" s="3">
        <v>0</v>
      </c>
      <c r="AD42" s="1">
        <v>0</v>
      </c>
      <c r="AE42" s="1">
        <v>3541.88</v>
      </c>
      <c r="AF42" s="1">
        <v>85005.119999999995</v>
      </c>
      <c r="AG42" s="1">
        <v>0</v>
      </c>
      <c r="AH42" s="1">
        <v>0</v>
      </c>
      <c r="AI42" s="1">
        <f>Table1[[#This Row],[NWS_pin]]*Table1[[#This Row],[Perc_pop_Northern_Aleppo]]</f>
        <v>85005.119999999995</v>
      </c>
      <c r="AJ42" s="1">
        <f>Table1[[#This Row],[NWS_pin]]*Table1[[#This Row],[Perc_pop_Afrin District]]</f>
        <v>0</v>
      </c>
      <c r="AK42" s="1">
        <f>Table1[[#This Row],[NWS_pin]]*Table1[[#This Row],[Perc_pop_Euphrates Shiled]]</f>
        <v>85005.119999999995</v>
      </c>
      <c r="AL42" s="1">
        <f>Table1[[#This Row],[NWS_pin]]*Table1[[#This Row],[Perc_Pop_Idleb_NSAG]]</f>
        <v>0</v>
      </c>
      <c r="AM42" s="4">
        <v>0.47922205007423402</v>
      </c>
      <c r="AN42" s="4">
        <v>0.52077794992576598</v>
      </c>
      <c r="AO42" s="4">
        <v>0.19467432888067401</v>
      </c>
      <c r="AP42" s="4">
        <v>0.37650540602593602</v>
      </c>
      <c r="AQ42" s="4">
        <v>0.56752703251964498</v>
      </c>
      <c r="AR42" s="4">
        <v>7.9220717764482192E-3</v>
      </c>
      <c r="AS42" s="4">
        <v>0</v>
      </c>
      <c r="AT42" s="4">
        <v>4.80454896779711E-2</v>
      </c>
      <c r="AU42" s="4">
        <v>8.9996547598001603E-2</v>
      </c>
      <c r="AV42" s="4">
        <v>9.5272960412400798E-2</v>
      </c>
      <c r="AW42" s="4">
        <v>8.51411704332911E-2</v>
      </c>
      <c r="AX42" s="4">
        <v>0.20043507386949</v>
      </c>
      <c r="AY42" s="4">
        <v>0.191927765020212</v>
      </c>
      <c r="AZ42" s="4">
        <v>0.20826353509359999</v>
      </c>
      <c r="BA42" s="4">
        <v>0.144221424789967</v>
      </c>
      <c r="BB42" s="4">
        <v>0.140350643756602</v>
      </c>
      <c r="BC42" s="4">
        <v>0.14778333370424099</v>
      </c>
      <c r="BD42" s="4">
        <v>8.6485842519591197E-2</v>
      </c>
      <c r="BE42" s="4">
        <v>6.0178944828252097E-2</v>
      </c>
      <c r="BF42" s="4">
        <v>0.110693559924934</v>
      </c>
      <c r="BG42" s="4">
        <v>4.7156737816443597E-2</v>
      </c>
      <c r="BH42" s="4">
        <v>2.9272889217336302E-2</v>
      </c>
      <c r="BI42" s="4">
        <v>6.3613530178914204E-2</v>
      </c>
      <c r="BJ42" s="4">
        <v>3.01109677770648E-2</v>
      </c>
      <c r="BK42" s="4">
        <v>2.6832754910464E-2</v>
      </c>
      <c r="BL42" s="4">
        <v>3.3127592983136001E-2</v>
      </c>
      <c r="BM42" s="4">
        <v>1.4905903067960901E-2</v>
      </c>
      <c r="BN42" s="4">
        <v>1.1090762532549E-2</v>
      </c>
      <c r="BO42" s="4">
        <v>1.8416611363045302E-2</v>
      </c>
      <c r="BP42" s="4">
        <v>4.8489183039615497E-2</v>
      </c>
      <c r="BQ42" s="4">
        <v>9.7805059125229896E-2</v>
      </c>
      <c r="BR42" s="4">
        <v>3.1085073748262199E-3</v>
      </c>
      <c r="BS42" s="4">
        <v>8.6659324251095002E-2</v>
      </c>
      <c r="BT42" s="4">
        <v>0.105907398129959</v>
      </c>
      <c r="BU42" s="4">
        <v>6.8947166074035796E-2</v>
      </c>
      <c r="BV42" s="4">
        <v>8.6553688613072499E-2</v>
      </c>
      <c r="BW42" s="4">
        <v>8.9760996062070303E-2</v>
      </c>
      <c r="BX42" s="4">
        <v>8.3602310869168001E-2</v>
      </c>
      <c r="BY42" s="4">
        <v>7.1166770347038499E-2</v>
      </c>
      <c r="BZ42" s="4">
        <v>6.6944681253886903E-2</v>
      </c>
      <c r="CA42" s="4">
        <v>7.5051954408891702E-2</v>
      </c>
      <c r="CB42" s="4">
        <v>2.6947857104699199E-2</v>
      </c>
      <c r="CC42" s="4">
        <v>1.9897802661270201E-2</v>
      </c>
      <c r="CD42" s="4">
        <v>3.3435346722868603E-2</v>
      </c>
      <c r="CE42" s="4">
        <v>2.3294637767735198E-2</v>
      </c>
      <c r="CF42" s="4">
        <v>1.7449126921561101E-2</v>
      </c>
      <c r="CG42" s="4">
        <v>2.86737013241589E-2</v>
      </c>
      <c r="CH42" s="4">
        <v>1.58040820287308E-2</v>
      </c>
      <c r="CI42" s="4">
        <v>2.09542906785204E-2</v>
      </c>
      <c r="CJ42" s="4">
        <v>1.1064838464724201E-2</v>
      </c>
      <c r="CK42" s="4">
        <v>6.3234609689429297E-3</v>
      </c>
      <c r="CL42" s="4">
        <v>1.0573010168304199E-2</v>
      </c>
      <c r="CM42" s="4">
        <v>2.41300800237716E-3</v>
      </c>
      <c r="CN42" s="4">
        <v>1.24310605512445E-2</v>
      </c>
      <c r="CO42" s="4">
        <v>8.0941184927797501E-3</v>
      </c>
      <c r="CP42" s="4">
        <v>1.64219327926803E-2</v>
      </c>
      <c r="CQ42" s="4">
        <v>9.01743788930689E-3</v>
      </c>
      <c r="CR42" s="4">
        <v>7.68679582860119E-3</v>
      </c>
      <c r="CS42" s="4">
        <v>1.02419002851078E-2</v>
      </c>
      <c r="CT42" s="1">
        <f>Table1[[#This Row],[Female %]]*Table1[[#This Row],[NWS_pin]]</f>
        <v>40736.327873206268</v>
      </c>
      <c r="CU42" s="1">
        <f>Table1[[#This Row],[Male %]]*Table1[[#This Row],[NWS_pin]]</f>
        <v>44268.792126793727</v>
      </c>
      <c r="CV42" s="1">
        <f>Table1[[#This Row],[Female% (0-2)22]]+Table1[[#This Row],[Male%(0-2)3]]</f>
        <v>7650.1673281538406</v>
      </c>
      <c r="CW42" s="1">
        <f>$CT42*Table1[[#This Row],[Female% (0-2)]]</f>
        <v>3881.07055281056</v>
      </c>
      <c r="CX42" s="1">
        <f>$CU42*Table1[[#This Row],[Male%(0-2)]]</f>
        <v>3769.0967753432801</v>
      </c>
      <c r="CY42" s="1">
        <f>Table1[[#This Row],[Female%  (3-5)5]]+Table1[[#This Row],[Male% (3-5)6]]</f>
        <v>25534.417839524711</v>
      </c>
      <c r="CZ42" s="1">
        <f>$AF42*Table1[[#This Row],[Female%  (3-5)]]</f>
        <v>16314.842696874923</v>
      </c>
      <c r="DA42" s="1">
        <f>$CU42*Table1[[#This Row],[Male% (3-5)]]</f>
        <v>9219.5751426497882</v>
      </c>
      <c r="DB42" s="1">
        <f>Table1[[#This Row],[Female% (6-8)8]]+Table1[[#This Row],[Male%(6-8)9]]</f>
        <v>12259.559520842144</v>
      </c>
      <c r="DC42" s="1">
        <f>$CT42*Table1[[#This Row],[Female% (6-8)]]</f>
        <v>5717.3698412845097</v>
      </c>
      <c r="DD42" s="1">
        <f>$CU42*Table1[[#This Row],[Male%(6-8)]]</f>
        <v>6542.1896795576331</v>
      </c>
      <c r="DE42" s="1">
        <f>Table1[[#This Row],[Female% (9 - 11)11]]+Table1[[#This Row],[Male% (9 - 11)12]]</f>
        <v>7351.7394216789562</v>
      </c>
      <c r="DF42" s="1">
        <f>$CT42*Table1[[#This Row],[Female% (9 - 11)]]</f>
        <v>2451.4692275872681</v>
      </c>
      <c r="DG42" s="1">
        <f>$CU42*Table1[[#This Row],[Male% (9 - 11)]]</f>
        <v>4900.2701940916877</v>
      </c>
      <c r="DH42" s="1">
        <f>Table1[[#This Row],[Female% (12-14)14]]+Table1[[#This Row],[Male%(12-14)15]]</f>
        <v>4008.5641568953288</v>
      </c>
      <c r="DI42" s="1">
        <f>$CT42*Table1[[#This Row],[Female% (12-14)]]</f>
        <v>1192.470012953456</v>
      </c>
      <c r="DJ42" s="1">
        <f>$CU42*Table1[[#This Row],[Male%(12-14)]]</f>
        <v>2816.0941439418725</v>
      </c>
      <c r="DK42" s="1">
        <f>Table1[[#This Row],[Female% (15-17)17]]+Table1[[#This Row],[Male%(15-17)18]]</f>
        <v>2559.5864292055248</v>
      </c>
      <c r="DL42" s="1">
        <f>$CT42*Table1[[#This Row],[Female% (15-17)]]</f>
        <v>1093.067901774047</v>
      </c>
      <c r="DM42" s="1">
        <f>$CU42*Table1[[#This Row],[Male%(15-17)]]</f>
        <v>1466.5185274314781</v>
      </c>
      <c r="DN42" s="1">
        <f>$AF42*Table1[[#This Row],[Total% (18-19)]]</f>
        <v>1267.0780790003844</v>
      </c>
      <c r="DO42" s="1">
        <f>$CT42*Table1[[#This Row],[Female% (18-19)]]</f>
        <v>451.79693888978755</v>
      </c>
      <c r="DP42" s="1">
        <f>$CU42*Table1[[#This Row],[Male%(18-19)]]</f>
        <v>815.28114011059972</v>
      </c>
      <c r="DQ42" s="1">
        <f>$AF42*Table1[[#This Row],[Total% (20-24)]]</f>
        <v>4121.8288229844802</v>
      </c>
      <c r="DR42" s="1">
        <f>$CT42*Table1[[#This Row],[Female% (20-24)]]</f>
        <v>3984.2189561836894</v>
      </c>
      <c r="DS42" s="1">
        <f>$CU42*Table1[[#This Row],[Male% (20-24)]]</f>
        <v>137.60986680078719</v>
      </c>
      <c r="DT42" s="1">
        <f>$AF42*Table1[[#This Row],[Total% (25-29)]]</f>
        <v>7366.4862570832402</v>
      </c>
      <c r="DU42" s="1">
        <f>$CT42*Table1[[#This Row],[Female% (25-29)]]</f>
        <v>4314.2784944202022</v>
      </c>
      <c r="DV42" s="1">
        <f>$CU42*Table1[[#This Row],[Male% (25-29)]]</f>
        <v>3052.2077626630153</v>
      </c>
      <c r="DW42" s="1">
        <f>$AF42*Table1[[#This Row],[Total%   (30-34)]]</f>
        <v>7357.5066869968614</v>
      </c>
      <c r="DX42" s="1">
        <f>$CT42*Table1[[#This Row],[Female%   (30-34)]]</f>
        <v>3656.5333658100726</v>
      </c>
      <c r="DY42" s="1">
        <f>$CU42*Table1[[#This Row],[Male%  (30-34)]]</f>
        <v>3700.9733211867861</v>
      </c>
      <c r="DZ42" s="1">
        <f>$AF42*Table1[[#This Row],[Total% (35-39)]]</f>
        <v>6049.5398533624493</v>
      </c>
      <c r="EA42" s="1">
        <f>$CT42*Table1[[#This Row],[Female% (35-39)]]</f>
        <v>2727.0804849256224</v>
      </c>
      <c r="EB42" s="1">
        <f>$CU42*Table1[[#This Row],[Male% (35-39)]]</f>
        <v>3322.4593684368269</v>
      </c>
      <c r="EC42" s="1">
        <f>$AF42*Table1[[#This Row],[Total% (40-44)]]</f>
        <v>2290.7058269278077</v>
      </c>
      <c r="ED42" s="1">
        <f>$CT42*Table1[[#This Row],[Female% (40-44)]]</f>
        <v>810.56341316585917</v>
      </c>
      <c r="EE42" s="1">
        <f>$CU42*Table1[[#This Row],[Male%(55-59)]]</f>
        <v>1480.142413761944</v>
      </c>
      <c r="EF42" s="1">
        <f>$AF42*Table1[[#This Row],[Total% (45-49)]]</f>
        <v>1980.1634788028625</v>
      </c>
      <c r="EG42" s="1">
        <f>$CT42*Table1[[#This Row],[Female% (45-49)]]</f>
        <v>710.81335537790335</v>
      </c>
      <c r="EH42" s="1">
        <f>$CU42*Table1[[#This Row],[Male% (45-49)]]</f>
        <v>1269.3501234249604</v>
      </c>
      <c r="EI42" s="1">
        <f>$AF42*Table1[[#This Row],[Total% (50-54)]]</f>
        <v>1343.4278893421049</v>
      </c>
      <c r="EJ42" s="1">
        <f>$CT42*Table1[[#This Row],[Female%(50-54)]]</f>
        <v>853.6008554306768</v>
      </c>
      <c r="EK42" s="1">
        <f>$CU42*Table1[[#This Row],[Male% (50-54)]]</f>
        <v>489.82703391142707</v>
      </c>
      <c r="EL42" s="1">
        <f>$AF42*Table1[[#This Row],[Total% (55-59)]]</f>
        <v>537.52655848030997</v>
      </c>
      <c r="EM42" s="1">
        <f>$CT42*Table1[[#This Row],[Female% (55-59)]]</f>
        <v>430.70560882278363</v>
      </c>
      <c r="EN42" s="1">
        <f>$CU42*Table1[[#This Row],[Male% (55-59)]]</f>
        <v>106.82094965752428</v>
      </c>
      <c r="EO42" s="1">
        <f>$AF42*Table1[[#This Row],[Total% (60-64)]]</f>
        <v>1056.7037938858048</v>
      </c>
      <c r="EP42" s="1">
        <f>$CT42*Table1[[#This Row],[Female%(60-64)]]</f>
        <v>329.72466476645803</v>
      </c>
      <c r="EQ42" s="1">
        <f>$CU42*Table1[[#This Row],[Male%(60-64)]]</f>
        <v>726.97912911934134</v>
      </c>
      <c r="ER42" s="1">
        <f>$AF42*Table1[[#This Row],[Total% (&gt;=65)]]</f>
        <v>766.52838987307882</v>
      </c>
      <c r="ES42" s="1">
        <f>$CT42*Table1[[#This Row],[Female%(&gt;=65)]]</f>
        <v>313.13183516829235</v>
      </c>
      <c r="ET42" s="1">
        <f>$CU42*Table1[[#This Row],[Male% (&gt;=65)]]</f>
        <v>453.39655470478664</v>
      </c>
    </row>
    <row r="43" spans="1:150" x14ac:dyDescent="0.35">
      <c r="A43" t="s">
        <v>54</v>
      </c>
      <c r="B43" t="s">
        <v>55</v>
      </c>
      <c r="C43" t="s">
        <v>383</v>
      </c>
      <c r="D43" t="s">
        <v>384</v>
      </c>
      <c r="E43" t="s">
        <v>474</v>
      </c>
      <c r="F43" t="s">
        <v>475</v>
      </c>
      <c r="G43" t="s">
        <v>1143</v>
      </c>
      <c r="H43">
        <v>4</v>
      </c>
      <c r="I43" s="1">
        <v>0</v>
      </c>
      <c r="J43" s="1">
        <v>1113</v>
      </c>
      <c r="K43" s="1">
        <v>18371</v>
      </c>
      <c r="L43" s="1">
        <v>10240</v>
      </c>
      <c r="M43" s="1">
        <v>0</v>
      </c>
      <c r="N43" s="1">
        <v>28611</v>
      </c>
      <c r="O43" s="3">
        <v>0</v>
      </c>
      <c r="P43" s="3">
        <v>0</v>
      </c>
      <c r="Q43" s="3">
        <v>1</v>
      </c>
      <c r="R43" s="3">
        <v>0</v>
      </c>
      <c r="S43" s="3">
        <v>0</v>
      </c>
      <c r="T43" s="1">
        <v>29724</v>
      </c>
      <c r="U43" s="1">
        <v>29724</v>
      </c>
      <c r="V43" s="10">
        <f>Table1[[#This Row],[Pop NW+RATAA]]*Table1[[#This Row],[Perc_pop_Northern_Aleppo]]</f>
        <v>29724</v>
      </c>
      <c r="W43" s="10">
        <f>Table1[[#This Row],[Pop NW+RATAA]]*Table1[[#This Row],[Perc_pop_Afrin District]]</f>
        <v>0</v>
      </c>
      <c r="X43" s="10">
        <f>Table1[[#This Row],[Pop NW+RATAA]]*Table1[[#This Row],[Perc_pop_Euphrates Shiled]]</f>
        <v>29724</v>
      </c>
      <c r="Y43" s="10">
        <f>Table1[[#This Row],[Pop NW+RATAA]]*Table1[[#This Row],[Perc_Pop_Idleb_NSAG]]</f>
        <v>0</v>
      </c>
      <c r="Z43" s="3">
        <v>1</v>
      </c>
      <c r="AA43" s="3">
        <v>0</v>
      </c>
      <c r="AB43" s="3">
        <v>1</v>
      </c>
      <c r="AC43" s="3">
        <v>0</v>
      </c>
      <c r="AD43" s="1">
        <v>0</v>
      </c>
      <c r="AE43" s="1">
        <v>0</v>
      </c>
      <c r="AF43" s="1">
        <v>28611</v>
      </c>
      <c r="AG43" s="1">
        <v>0</v>
      </c>
      <c r="AH43" s="1">
        <v>0</v>
      </c>
      <c r="AI43" s="1">
        <f>Table1[[#This Row],[NWS_pin]]*Table1[[#This Row],[Perc_pop_Northern_Aleppo]]</f>
        <v>28611</v>
      </c>
      <c r="AJ43" s="1">
        <f>Table1[[#This Row],[NWS_pin]]*Table1[[#This Row],[Perc_pop_Afrin District]]</f>
        <v>0</v>
      </c>
      <c r="AK43" s="1">
        <f>Table1[[#This Row],[NWS_pin]]*Table1[[#This Row],[Perc_pop_Euphrates Shiled]]</f>
        <v>28611</v>
      </c>
      <c r="AL43" s="1">
        <f>Table1[[#This Row],[NWS_pin]]*Table1[[#This Row],[Perc_Pop_Idleb_NSAG]]</f>
        <v>0</v>
      </c>
      <c r="AM43" s="4">
        <v>0.49283424490271399</v>
      </c>
      <c r="AN43" s="4">
        <v>0.50716575509728601</v>
      </c>
      <c r="AO43" s="4">
        <v>0.140858149215498</v>
      </c>
      <c r="AP43" s="4">
        <v>0.384663327539571</v>
      </c>
      <c r="AQ43" s="4">
        <v>0.59558576997048296</v>
      </c>
      <c r="AR43" s="4">
        <v>4.2373317151937102E-3</v>
      </c>
      <c r="AS43" s="4">
        <v>0</v>
      </c>
      <c r="AT43" s="4">
        <v>1.55135707747529E-2</v>
      </c>
      <c r="AU43" s="4">
        <v>6.5224550962792699E-2</v>
      </c>
      <c r="AV43" s="4">
        <v>8.4169395175645895E-2</v>
      </c>
      <c r="AW43" s="4">
        <v>4.6815050915515098E-2</v>
      </c>
      <c r="AX43" s="4">
        <v>0.16234803781275101</v>
      </c>
      <c r="AY43" s="4">
        <v>0.16136139466204399</v>
      </c>
      <c r="AZ43" s="4">
        <v>0.16330680036183901</v>
      </c>
      <c r="BA43" s="4">
        <v>0.11863872945013899</v>
      </c>
      <c r="BB43" s="4">
        <v>0.114013738845213</v>
      </c>
      <c r="BC43" s="4">
        <v>0.123133026885547</v>
      </c>
      <c r="BD43" s="4">
        <v>7.8867170702452499E-2</v>
      </c>
      <c r="BE43" s="4">
        <v>7.2204810346739506E-2</v>
      </c>
      <c r="BF43" s="4">
        <v>8.5341265812734102E-2</v>
      </c>
      <c r="BG43" s="4">
        <v>6.5132507144182297E-2</v>
      </c>
      <c r="BH43" s="4">
        <v>7.1574480999655701E-2</v>
      </c>
      <c r="BI43" s="4">
        <v>5.8872570843601001E-2</v>
      </c>
      <c r="BJ43" s="4">
        <v>3.7661741842976097E-2</v>
      </c>
      <c r="BK43" s="4">
        <v>3.4268321864841002E-2</v>
      </c>
      <c r="BL43" s="4">
        <v>4.0959270423629603E-2</v>
      </c>
      <c r="BM43" s="4">
        <v>3.6741303656872101E-2</v>
      </c>
      <c r="BN43" s="4">
        <v>4.0201005025125601E-2</v>
      </c>
      <c r="BO43" s="4">
        <v>3.3379366668273597E-2</v>
      </c>
      <c r="BP43" s="4">
        <v>4.7028638571249802E-2</v>
      </c>
      <c r="BQ43" s="4">
        <v>5.2381536019236702E-2</v>
      </c>
      <c r="BR43" s="4">
        <v>4.1827003513468297E-2</v>
      </c>
      <c r="BS43" s="4">
        <v>8.8642511875809904E-2</v>
      </c>
      <c r="BT43" s="4">
        <v>9.3066960820362005E-2</v>
      </c>
      <c r="BU43" s="4">
        <v>8.4343089186514397E-2</v>
      </c>
      <c r="BV43" s="4">
        <v>0.111617511911764</v>
      </c>
      <c r="BW43" s="4">
        <v>0.12687712663199899</v>
      </c>
      <c r="BX43" s="4">
        <v>9.6789103994691497E-2</v>
      </c>
      <c r="BY43" s="4">
        <v>6.12278357765694E-2</v>
      </c>
      <c r="BZ43" s="4">
        <v>2.6908643099352699E-2</v>
      </c>
      <c r="CA43" s="4">
        <v>9.4577235334318305E-2</v>
      </c>
      <c r="CB43" s="4">
        <v>2.9009622893598801E-2</v>
      </c>
      <c r="CC43" s="4">
        <v>3.2123451169902902E-2</v>
      </c>
      <c r="CD43" s="4">
        <v>2.5983785301282002E-2</v>
      </c>
      <c r="CE43" s="4">
        <v>3.53232535764057E-2</v>
      </c>
      <c r="CF43" s="4">
        <v>4.4336082269652598E-2</v>
      </c>
      <c r="CG43" s="4">
        <v>2.6565109756892899E-2</v>
      </c>
      <c r="CH43" s="4">
        <v>2.2730508642770701E-2</v>
      </c>
      <c r="CI43" s="4">
        <v>2.0050893258394199E-2</v>
      </c>
      <c r="CJ43" s="4">
        <v>2.5334403348428899E-2</v>
      </c>
      <c r="CK43" s="4">
        <v>1.8705029763231702E-2</v>
      </c>
      <c r="CL43" s="4">
        <v>5.7254915693449896E-3</v>
      </c>
      <c r="CM43" s="4">
        <v>3.13177916476437E-2</v>
      </c>
      <c r="CN43" s="4">
        <v>8.1314961003622795E-3</v>
      </c>
      <c r="CO43" s="4">
        <v>5.4336724271765299E-3</v>
      </c>
      <c r="CP43" s="4">
        <v>1.0753084564276099E-2</v>
      </c>
      <c r="CQ43" s="4">
        <v>1.29695493160713E-2</v>
      </c>
      <c r="CR43" s="4">
        <v>1.5302995815313501E-2</v>
      </c>
      <c r="CS43" s="4">
        <v>1.0702041441344399E-2</v>
      </c>
      <c r="CT43" s="1">
        <f>Table1[[#This Row],[Female %]]*Table1[[#This Row],[NWS_pin]]</f>
        <v>14100.48058091155</v>
      </c>
      <c r="CU43" s="1">
        <f>Table1[[#This Row],[Male %]]*Table1[[#This Row],[NWS_pin]]</f>
        <v>14510.51941908845</v>
      </c>
      <c r="CV43" s="1">
        <f>Table1[[#This Row],[Female% (0-2)22]]+Table1[[#This Row],[Male%(0-2)3]]</f>
        <v>1866.1396275964617</v>
      </c>
      <c r="CW43" s="1">
        <f>$CT43*Table1[[#This Row],[Female% (0-2)]]</f>
        <v>1186.8289221812652</v>
      </c>
      <c r="CX43" s="1">
        <f>$CU43*Table1[[#This Row],[Male%(0-2)]]</f>
        <v>679.31070541519637</v>
      </c>
      <c r="CY43" s="1">
        <f>Table1[[#This Row],[Female%  (3-5)5]]+Table1[[#This Row],[Male% (3-5)6]]</f>
        <v>6986.3773605954066</v>
      </c>
      <c r="CZ43" s="1">
        <f>$AF43*Table1[[#This Row],[Female%  (3-5)]]</f>
        <v>4616.7108626757408</v>
      </c>
      <c r="DA43" s="1">
        <f>$CU43*Table1[[#This Row],[Male% (3-5)]]</f>
        <v>2369.6664979196657</v>
      </c>
      <c r="DB43" s="1">
        <f>Table1[[#This Row],[Female% (6-8)8]]+Table1[[#This Row],[Male%(6-8)9]]</f>
        <v>3394.3726882979167</v>
      </c>
      <c r="DC43" s="1">
        <f>$CT43*Table1[[#This Row],[Female% (6-8)]]</f>
        <v>1607.6485105440468</v>
      </c>
      <c r="DD43" s="1">
        <f>$CU43*Table1[[#This Row],[Male%(6-8)]]</f>
        <v>1786.72417775387</v>
      </c>
      <c r="DE43" s="1">
        <f>Table1[[#This Row],[Female% (9 - 11)11]]+Table1[[#This Row],[Male% (9 - 11)12]]</f>
        <v>2256.4686209678694</v>
      </c>
      <c r="DF43" s="1">
        <f>$CT43*Table1[[#This Row],[Female% (9 - 11)]]</f>
        <v>1018.1225261426017</v>
      </c>
      <c r="DG43" s="1">
        <f>$CU43*Table1[[#This Row],[Male% (9 - 11)]]</f>
        <v>1238.3460948252675</v>
      </c>
      <c r="DH43" s="1">
        <f>Table1[[#This Row],[Female% (12-14)14]]+Table1[[#This Row],[Male%(12-14)15]]</f>
        <v>1863.5061619022008</v>
      </c>
      <c r="DI43" s="1">
        <f>$CT43*Table1[[#This Row],[Female% (12-14)]]</f>
        <v>1009.2345794244679</v>
      </c>
      <c r="DJ43" s="1">
        <f>$CU43*Table1[[#This Row],[Male%(12-14)]]</f>
        <v>854.27158247773286</v>
      </c>
      <c r="DK43" s="1">
        <f>Table1[[#This Row],[Female% (15-17)17]]+Table1[[#This Row],[Male%(15-17)18]]</f>
        <v>1077.5400958693899</v>
      </c>
      <c r="DL43" s="1">
        <f>$CT43*Table1[[#This Row],[Female% (15-17)]]</f>
        <v>483.19980699561722</v>
      </c>
      <c r="DM43" s="1">
        <f>$CU43*Table1[[#This Row],[Male%(15-17)]]</f>
        <v>594.34028887377258</v>
      </c>
      <c r="DN43" s="1">
        <f>$AF43*Table1[[#This Row],[Total% (18-19)]]</f>
        <v>1051.2054389267678</v>
      </c>
      <c r="DO43" s="1">
        <f>$CT43*Table1[[#This Row],[Female% (18-19)]]</f>
        <v>566.85349068991115</v>
      </c>
      <c r="DP43" s="1">
        <f>$CU43*Table1[[#This Row],[Male%(18-19)]]</f>
        <v>484.35194823685777</v>
      </c>
      <c r="DQ43" s="1">
        <f>$AF43*Table1[[#This Row],[Total% (20-24)]]</f>
        <v>1345.5363781620281</v>
      </c>
      <c r="DR43" s="1">
        <f>$CT43*Table1[[#This Row],[Female% (20-24)]]</f>
        <v>738.60483143756596</v>
      </c>
      <c r="DS43" s="1">
        <f>$CU43*Table1[[#This Row],[Male% (20-24)]]</f>
        <v>606.93154672446258</v>
      </c>
      <c r="DT43" s="1">
        <f>$AF43*Table1[[#This Row],[Total% (25-29)]]</f>
        <v>2536.1509072787971</v>
      </c>
      <c r="DU43" s="1">
        <f>$CT43*Table1[[#This Row],[Female% (25-29)]]</f>
        <v>1312.2888737719704</v>
      </c>
      <c r="DV43" s="1">
        <f>$CU43*Table1[[#This Row],[Male% (25-29)]]</f>
        <v>1223.8620335068263</v>
      </c>
      <c r="DW43" s="1">
        <f>$AF43*Table1[[#This Row],[Total%   (30-34)]]</f>
        <v>3193.4886333074796</v>
      </c>
      <c r="DX43" s="1">
        <f>$CT43*Table1[[#This Row],[Female%   (30-34)]]</f>
        <v>1789.0284602363574</v>
      </c>
      <c r="DY43" s="1">
        <f>$CU43*Table1[[#This Row],[Male%  (30-34)]]</f>
        <v>1404.4601730711424</v>
      </c>
      <c r="DZ43" s="1">
        <f>$AF43*Table1[[#This Row],[Total% (35-39)]]</f>
        <v>1751.7896094034272</v>
      </c>
      <c r="EA43" s="1">
        <f>$CT43*Table1[[#This Row],[Female% (35-39)]]</f>
        <v>379.4247994811023</v>
      </c>
      <c r="EB43" s="1">
        <f>$CU43*Table1[[#This Row],[Male% (35-39)]]</f>
        <v>1372.3648099223242</v>
      </c>
      <c r="EC43" s="1">
        <f>$AF43*Table1[[#This Row],[Total% (40-44)]]</f>
        <v>829.99432060875529</v>
      </c>
      <c r="ED43" s="1">
        <f>$CT43*Table1[[#This Row],[Female% (40-44)]]</f>
        <v>452.95609941307629</v>
      </c>
      <c r="EE43" s="1">
        <f>$CU43*Table1[[#This Row],[Male%(55-59)]]</f>
        <v>377.03822119567752</v>
      </c>
      <c r="EF43" s="1">
        <f>$AF43*Table1[[#This Row],[Total% (45-49)]]</f>
        <v>1010.6336080745435</v>
      </c>
      <c r="EG43" s="1">
        <f>$CT43*Table1[[#This Row],[Female% (45-49)]]</f>
        <v>625.16006707693327</v>
      </c>
      <c r="EH43" s="1">
        <f>$CU43*Table1[[#This Row],[Male% (45-49)]]</f>
        <v>385.47354099761048</v>
      </c>
      <c r="EI43" s="1">
        <f>$AF43*Table1[[#This Row],[Total% (50-54)]]</f>
        <v>650.34258277831248</v>
      </c>
      <c r="EJ43" s="1">
        <f>$CT43*Table1[[#This Row],[Female%(50-54)]]</f>
        <v>282.72723101991772</v>
      </c>
      <c r="EK43" s="1">
        <f>$CU43*Table1[[#This Row],[Male% (50-54)]]</f>
        <v>367.61535175839697</v>
      </c>
      <c r="EL43" s="1">
        <f>$AF43*Table1[[#This Row],[Total% (55-59)]]</f>
        <v>535.16960655582216</v>
      </c>
      <c r="EM43" s="1">
        <f>$CT43*Table1[[#This Row],[Female% (55-59)]]</f>
        <v>80.732182689721824</v>
      </c>
      <c r="EN43" s="1">
        <f>$CU43*Table1[[#This Row],[Male% (55-59)]]</f>
        <v>454.4374238661</v>
      </c>
      <c r="EO43" s="1">
        <f>$AF43*Table1[[#This Row],[Total% (60-64)]]</f>
        <v>232.65023492746516</v>
      </c>
      <c r="EP43" s="1">
        <f>$CT43*Table1[[#This Row],[Female%(60-64)]]</f>
        <v>76.617392542437187</v>
      </c>
      <c r="EQ43" s="1">
        <f>$CU43*Table1[[#This Row],[Male%(60-64)]]</f>
        <v>156.0328423850286</v>
      </c>
      <c r="ER43" s="1">
        <f>$AF43*Table1[[#This Row],[Total% (&gt;=65)]]</f>
        <v>371.07177548211598</v>
      </c>
      <c r="ES43" s="1">
        <f>$CT43*Table1[[#This Row],[Female%(&gt;=65)]]</f>
        <v>215.77959532359873</v>
      </c>
      <c r="ET43" s="1">
        <f>$CU43*Table1[[#This Row],[Male% (&gt;=65)]]</f>
        <v>155.29218015851725</v>
      </c>
    </row>
    <row r="44" spans="1:150" hidden="1" x14ac:dyDescent="0.35">
      <c r="A44" t="s">
        <v>104</v>
      </c>
      <c r="B44" t="s">
        <v>105</v>
      </c>
      <c r="C44" t="s">
        <v>104</v>
      </c>
      <c r="D44" t="s">
        <v>141</v>
      </c>
      <c r="E44" t="s">
        <v>452</v>
      </c>
      <c r="F44" t="s">
        <v>453</v>
      </c>
      <c r="H44">
        <v>3</v>
      </c>
      <c r="I44" s="1">
        <v>0</v>
      </c>
      <c r="J44" s="1">
        <v>12571</v>
      </c>
      <c r="K44" s="1">
        <v>129872</v>
      </c>
      <c r="L44" s="1">
        <v>6359</v>
      </c>
      <c r="M44" s="1">
        <v>0</v>
      </c>
      <c r="N44" s="1">
        <v>136231</v>
      </c>
      <c r="O44" s="3">
        <v>1</v>
      </c>
      <c r="P44" s="3">
        <v>0</v>
      </c>
      <c r="Q44" s="3">
        <v>0</v>
      </c>
      <c r="R44" s="3">
        <v>0</v>
      </c>
      <c r="S44" s="3">
        <v>0</v>
      </c>
      <c r="T44" s="1">
        <v>148802</v>
      </c>
      <c r="U44" s="1">
        <v>0</v>
      </c>
      <c r="V44" s="10">
        <f>Table1[[#This Row],[Pop NW+RATAA]]*Table1[[#This Row],[Perc_pop_Northern_Aleppo]]</f>
        <v>0</v>
      </c>
      <c r="W44" s="10">
        <f>Table1[[#This Row],[Pop NW+RATAA]]*Table1[[#This Row],[Perc_pop_Afrin District]]</f>
        <v>0</v>
      </c>
      <c r="X44" s="10">
        <f>Table1[[#This Row],[Pop NW+RATAA]]*Table1[[#This Row],[Perc_pop_Euphrates Shiled]]</f>
        <v>0</v>
      </c>
      <c r="Y44" s="10">
        <f>Table1[[#This Row],[Pop NW+RATAA]]*Table1[[#This Row],[Perc_Pop_Idleb_NSAG]]</f>
        <v>0</v>
      </c>
      <c r="Z44" s="3">
        <v>0</v>
      </c>
      <c r="AA44" s="3">
        <v>0</v>
      </c>
      <c r="AB44" s="3">
        <v>0</v>
      </c>
      <c r="AC44" s="3">
        <v>0</v>
      </c>
      <c r="AD44" s="1">
        <v>136231</v>
      </c>
      <c r="AE44" s="1">
        <v>0</v>
      </c>
      <c r="AF44" s="1">
        <v>0</v>
      </c>
      <c r="AG44" s="1">
        <v>0</v>
      </c>
      <c r="AH44" s="1">
        <v>0</v>
      </c>
      <c r="AI44" s="1">
        <f>Table1[[#This Row],[NWS_pin]]*Table1[[#This Row],[Perc_pop_Northern_Aleppo]]</f>
        <v>0</v>
      </c>
      <c r="AJ44" s="1">
        <f>Table1[[#This Row],[NWS_pin]]*Table1[[#This Row],[Perc_pop_Afrin District]]</f>
        <v>0</v>
      </c>
      <c r="AK44" s="1">
        <f>Table1[[#This Row],[NWS_pin]]*Table1[[#This Row],[Perc_pop_Euphrates Shiled]]</f>
        <v>0</v>
      </c>
      <c r="AL44" s="1">
        <f>Table1[[#This Row],[NWS_pin]]*Table1[[#This Row],[Perc_Pop_Idleb_NSAG]]</f>
        <v>0</v>
      </c>
      <c r="AM44" s="4">
        <v>0.44007803633259401</v>
      </c>
      <c r="AN44" s="4">
        <v>0.55992196366740599</v>
      </c>
      <c r="AO44" s="4">
        <v>0.14427342636093801</v>
      </c>
      <c r="AP44" s="4">
        <v>0.49037500590170202</v>
      </c>
      <c r="AQ44" s="4">
        <v>0.49659266057755203</v>
      </c>
      <c r="AR44" s="4">
        <v>0</v>
      </c>
      <c r="AS44" s="4">
        <v>0</v>
      </c>
      <c r="AT44" s="4">
        <v>1.30323335207457E-2</v>
      </c>
      <c r="AU44" s="4">
        <v>8.17476807761933E-3</v>
      </c>
      <c r="AV44" s="4">
        <v>1.29030590375793E-2</v>
      </c>
      <c r="AW44" s="4">
        <v>4.4585055698239404E-3</v>
      </c>
      <c r="AX44" s="4">
        <v>3.03946007932142E-2</v>
      </c>
      <c r="AY44" s="4">
        <v>3.1438631003843399E-2</v>
      </c>
      <c r="AZ44" s="4">
        <v>2.9574031508958501E-2</v>
      </c>
      <c r="BA44" s="4">
        <v>6.0639077918532798E-2</v>
      </c>
      <c r="BB44" s="4">
        <v>2.6909661825744401E-2</v>
      </c>
      <c r="BC44" s="4">
        <v>8.7149156400784397E-2</v>
      </c>
      <c r="BD44" s="4">
        <v>0.110900543124657</v>
      </c>
      <c r="BE44" s="4">
        <v>9.8737914641504207E-2</v>
      </c>
      <c r="BF44" s="4">
        <v>0.12045992105019999</v>
      </c>
      <c r="BG44" s="4">
        <v>0.117003346693444</v>
      </c>
      <c r="BH44" s="4">
        <v>9.49199591836309E-2</v>
      </c>
      <c r="BI44" s="4">
        <v>0.13436007574053399</v>
      </c>
      <c r="BJ44" s="4">
        <v>0.128971879076686</v>
      </c>
      <c r="BK44" s="4">
        <v>0.115365837342687</v>
      </c>
      <c r="BL44" s="4">
        <v>0.13966572664311999</v>
      </c>
      <c r="BM44" s="4">
        <v>4.5643244620714299E-2</v>
      </c>
      <c r="BN44" s="4">
        <v>3.27049922777762E-2</v>
      </c>
      <c r="BO44" s="4">
        <v>5.5812234326640398E-2</v>
      </c>
      <c r="BP44" s="4">
        <v>1.6807556494165401E-2</v>
      </c>
      <c r="BQ44" s="4">
        <v>2.1075147897756798E-2</v>
      </c>
      <c r="BR44" s="4">
        <v>1.34533868658456E-2</v>
      </c>
      <c r="BS44" s="4">
        <v>4.04491930060598E-2</v>
      </c>
      <c r="BT44" s="4">
        <v>9.1913682725783305E-2</v>
      </c>
      <c r="BU44" s="4">
        <v>0</v>
      </c>
      <c r="BV44" s="4">
        <v>0.122243698641544</v>
      </c>
      <c r="BW44" s="4">
        <v>0.22654458009343401</v>
      </c>
      <c r="BX44" s="4">
        <v>4.0267048187496997E-2</v>
      </c>
      <c r="BY44" s="4">
        <v>0.141850201538128</v>
      </c>
      <c r="BZ44" s="4">
        <v>0.128407751892018</v>
      </c>
      <c r="CA44" s="4">
        <v>0.15241547175009301</v>
      </c>
      <c r="CB44" s="4">
        <v>9.5236354624055899E-2</v>
      </c>
      <c r="CC44" s="4">
        <v>6.5726854223911696E-2</v>
      </c>
      <c r="CD44" s="4">
        <v>0.11842973483045401</v>
      </c>
      <c r="CE44" s="4">
        <v>5.2877035187597697E-2</v>
      </c>
      <c r="CF44" s="4">
        <v>2.5950858557633901E-2</v>
      </c>
      <c r="CG44" s="4">
        <v>7.4040018078366701E-2</v>
      </c>
      <c r="CH44" s="4">
        <v>1.50440896755611E-2</v>
      </c>
      <c r="CI44" s="4">
        <v>8.4199777324626707E-3</v>
      </c>
      <c r="CJ44" s="4">
        <v>2.02503976354639E-2</v>
      </c>
      <c r="CK44" s="4">
        <v>7.04219657436541E-3</v>
      </c>
      <c r="CL44" s="4">
        <v>7.5821764151330897E-3</v>
      </c>
      <c r="CM44" s="4">
        <v>6.6177923119789903E-3</v>
      </c>
      <c r="CN44" s="4">
        <v>1.7058017585166001E-3</v>
      </c>
      <c r="CO44" s="4">
        <v>0</v>
      </c>
      <c r="CP44" s="4">
        <v>3.0464991002386401E-3</v>
      </c>
      <c r="CQ44" s="4">
        <v>5.0164121951384796E-3</v>
      </c>
      <c r="CR44" s="4">
        <v>1.13989151491016E-2</v>
      </c>
      <c r="CS44" s="4">
        <v>0</v>
      </c>
      <c r="CT44" s="1">
        <f>Table1[[#This Row],[Female %]]*Table1[[#This Row],[NWS_pin]]</f>
        <v>0</v>
      </c>
      <c r="CU44" s="1">
        <f>Table1[[#This Row],[Male %]]*Table1[[#This Row],[NWS_pin]]</f>
        <v>0</v>
      </c>
      <c r="CV44" s="1">
        <f>Table1[[#This Row],[Female% (0-2)22]]+Table1[[#This Row],[Male%(0-2)3]]</f>
        <v>0</v>
      </c>
      <c r="CW44" s="1">
        <f>$CT44*Table1[[#This Row],[Female% (0-2)]]</f>
        <v>0</v>
      </c>
      <c r="CX44" s="1">
        <f>$CU44*Table1[[#This Row],[Male%(0-2)]]</f>
        <v>0</v>
      </c>
      <c r="CY44" s="1">
        <f>Table1[[#This Row],[Female%  (3-5)5]]+Table1[[#This Row],[Male% (3-5)6]]</f>
        <v>0</v>
      </c>
      <c r="CZ44" s="1">
        <f>$AF44*Table1[[#This Row],[Female%  (3-5)]]</f>
        <v>0</v>
      </c>
      <c r="DA44" s="1">
        <f>$CU44*Table1[[#This Row],[Male% (3-5)]]</f>
        <v>0</v>
      </c>
      <c r="DB44" s="1">
        <f>Table1[[#This Row],[Female% (6-8)8]]+Table1[[#This Row],[Male%(6-8)9]]</f>
        <v>0</v>
      </c>
      <c r="DC44" s="1">
        <f>$CT44*Table1[[#This Row],[Female% (6-8)]]</f>
        <v>0</v>
      </c>
      <c r="DD44" s="1">
        <f>$CU44*Table1[[#This Row],[Male%(6-8)]]</f>
        <v>0</v>
      </c>
      <c r="DE44" s="1">
        <f>Table1[[#This Row],[Female% (9 - 11)11]]+Table1[[#This Row],[Male% (9 - 11)12]]</f>
        <v>0</v>
      </c>
      <c r="DF44" s="1">
        <f>$CT44*Table1[[#This Row],[Female% (9 - 11)]]</f>
        <v>0</v>
      </c>
      <c r="DG44" s="1">
        <f>$CU44*Table1[[#This Row],[Male% (9 - 11)]]</f>
        <v>0</v>
      </c>
      <c r="DH44" s="1">
        <f>Table1[[#This Row],[Female% (12-14)14]]+Table1[[#This Row],[Male%(12-14)15]]</f>
        <v>0</v>
      </c>
      <c r="DI44" s="1">
        <f>$CT44*Table1[[#This Row],[Female% (12-14)]]</f>
        <v>0</v>
      </c>
      <c r="DJ44" s="1">
        <f>$CU44*Table1[[#This Row],[Male%(12-14)]]</f>
        <v>0</v>
      </c>
      <c r="DK44" s="1">
        <f>Table1[[#This Row],[Female% (15-17)17]]+Table1[[#This Row],[Male%(15-17)18]]</f>
        <v>0</v>
      </c>
      <c r="DL44" s="1">
        <f>$CT44*Table1[[#This Row],[Female% (15-17)]]</f>
        <v>0</v>
      </c>
      <c r="DM44" s="1">
        <f>$CU44*Table1[[#This Row],[Male%(15-17)]]</f>
        <v>0</v>
      </c>
      <c r="DN44" s="1">
        <f>$AF44*Table1[[#This Row],[Total% (18-19)]]</f>
        <v>0</v>
      </c>
      <c r="DO44" s="1">
        <f>$CT44*Table1[[#This Row],[Female% (18-19)]]</f>
        <v>0</v>
      </c>
      <c r="DP44" s="1">
        <f>$CU44*Table1[[#This Row],[Male%(18-19)]]</f>
        <v>0</v>
      </c>
      <c r="DQ44" s="1">
        <f>$AF44*Table1[[#This Row],[Total% (20-24)]]</f>
        <v>0</v>
      </c>
      <c r="DR44" s="1">
        <f>$CT44*Table1[[#This Row],[Female% (20-24)]]</f>
        <v>0</v>
      </c>
      <c r="DS44" s="1">
        <f>$CU44*Table1[[#This Row],[Male% (20-24)]]</f>
        <v>0</v>
      </c>
      <c r="DT44" s="1">
        <f>$AF44*Table1[[#This Row],[Total% (25-29)]]</f>
        <v>0</v>
      </c>
      <c r="DU44" s="1">
        <f>$CT44*Table1[[#This Row],[Female% (25-29)]]</f>
        <v>0</v>
      </c>
      <c r="DV44" s="1">
        <f>$CU44*Table1[[#This Row],[Male% (25-29)]]</f>
        <v>0</v>
      </c>
      <c r="DW44" s="1">
        <f>$AF44*Table1[[#This Row],[Total%   (30-34)]]</f>
        <v>0</v>
      </c>
      <c r="DX44" s="1">
        <f>$CT44*Table1[[#This Row],[Female%   (30-34)]]</f>
        <v>0</v>
      </c>
      <c r="DY44" s="1">
        <f>$CU44*Table1[[#This Row],[Male%  (30-34)]]</f>
        <v>0</v>
      </c>
      <c r="DZ44" s="1">
        <f>$AF44*Table1[[#This Row],[Total% (35-39)]]</f>
        <v>0</v>
      </c>
      <c r="EA44" s="1">
        <f>$CT44*Table1[[#This Row],[Female% (35-39)]]</f>
        <v>0</v>
      </c>
      <c r="EB44" s="1">
        <f>$CU44*Table1[[#This Row],[Male% (35-39)]]</f>
        <v>0</v>
      </c>
      <c r="EC44" s="1">
        <f>$AF44*Table1[[#This Row],[Total% (40-44)]]</f>
        <v>0</v>
      </c>
      <c r="ED44" s="1">
        <f>$CT44*Table1[[#This Row],[Female% (40-44)]]</f>
        <v>0</v>
      </c>
      <c r="EE44" s="1">
        <f>$CU44*Table1[[#This Row],[Male%(55-59)]]</f>
        <v>0</v>
      </c>
      <c r="EF44" s="1">
        <f>$AF44*Table1[[#This Row],[Total% (45-49)]]</f>
        <v>0</v>
      </c>
      <c r="EG44" s="1">
        <f>$CT44*Table1[[#This Row],[Female% (45-49)]]</f>
        <v>0</v>
      </c>
      <c r="EH44" s="1">
        <f>$CU44*Table1[[#This Row],[Male% (45-49)]]</f>
        <v>0</v>
      </c>
      <c r="EI44" s="1">
        <f>$AF44*Table1[[#This Row],[Total% (50-54)]]</f>
        <v>0</v>
      </c>
      <c r="EJ44" s="1">
        <f>$CT44*Table1[[#This Row],[Female%(50-54)]]</f>
        <v>0</v>
      </c>
      <c r="EK44" s="1">
        <f>$CU44*Table1[[#This Row],[Male% (50-54)]]</f>
        <v>0</v>
      </c>
      <c r="EL44" s="1">
        <f>$AF44*Table1[[#This Row],[Total% (55-59)]]</f>
        <v>0</v>
      </c>
      <c r="EM44" s="1">
        <f>$CT44*Table1[[#This Row],[Female% (55-59)]]</f>
        <v>0</v>
      </c>
      <c r="EN44" s="1">
        <f>$CU44*Table1[[#This Row],[Male% (55-59)]]</f>
        <v>0</v>
      </c>
      <c r="EO44" s="1">
        <f>$AF44*Table1[[#This Row],[Total% (60-64)]]</f>
        <v>0</v>
      </c>
      <c r="EP44" s="1">
        <f>$CT44*Table1[[#This Row],[Female%(60-64)]]</f>
        <v>0</v>
      </c>
      <c r="EQ44" s="1">
        <f>$CU44*Table1[[#This Row],[Male%(60-64)]]</f>
        <v>0</v>
      </c>
      <c r="ER44" s="1">
        <f>$AF44*Table1[[#This Row],[Total% (&gt;=65)]]</f>
        <v>0</v>
      </c>
      <c r="ES44" s="1">
        <f>$CT44*Table1[[#This Row],[Female%(&gt;=65)]]</f>
        <v>0</v>
      </c>
      <c r="ET44" s="1">
        <f>$CU44*Table1[[#This Row],[Male% (&gt;=65)]]</f>
        <v>0</v>
      </c>
    </row>
    <row r="45" spans="1:150" hidden="1" x14ac:dyDescent="0.35">
      <c r="A45" t="s">
        <v>104</v>
      </c>
      <c r="B45" t="s">
        <v>105</v>
      </c>
      <c r="C45" t="s">
        <v>104</v>
      </c>
      <c r="D45" t="s">
        <v>141</v>
      </c>
      <c r="E45" t="s">
        <v>360</v>
      </c>
      <c r="F45" t="s">
        <v>361</v>
      </c>
      <c r="H45">
        <v>3</v>
      </c>
      <c r="I45" s="1">
        <v>0</v>
      </c>
      <c r="J45" s="1">
        <v>28416</v>
      </c>
      <c r="K45" s="1">
        <v>288769</v>
      </c>
      <c r="L45" s="1">
        <v>18811</v>
      </c>
      <c r="M45" s="1">
        <v>0</v>
      </c>
      <c r="N45" s="1">
        <v>307580</v>
      </c>
      <c r="O45" s="3">
        <v>1</v>
      </c>
      <c r="P45" s="3">
        <v>0</v>
      </c>
      <c r="Q45" s="3">
        <v>0</v>
      </c>
      <c r="R45" s="3">
        <v>0</v>
      </c>
      <c r="S45" s="3">
        <v>0</v>
      </c>
      <c r="T45" s="1">
        <v>335996</v>
      </c>
      <c r="U45" s="1">
        <v>0</v>
      </c>
      <c r="V45" s="10">
        <f>Table1[[#This Row],[Pop NW+RATAA]]*Table1[[#This Row],[Perc_pop_Northern_Aleppo]]</f>
        <v>0</v>
      </c>
      <c r="W45" s="10">
        <f>Table1[[#This Row],[Pop NW+RATAA]]*Table1[[#This Row],[Perc_pop_Afrin District]]</f>
        <v>0</v>
      </c>
      <c r="X45" s="10">
        <f>Table1[[#This Row],[Pop NW+RATAA]]*Table1[[#This Row],[Perc_pop_Euphrates Shiled]]</f>
        <v>0</v>
      </c>
      <c r="Y45" s="10">
        <f>Table1[[#This Row],[Pop NW+RATAA]]*Table1[[#This Row],[Perc_Pop_Idleb_NSAG]]</f>
        <v>0</v>
      </c>
      <c r="Z45" s="3">
        <v>0</v>
      </c>
      <c r="AA45" s="3">
        <v>0</v>
      </c>
      <c r="AB45" s="3">
        <v>0</v>
      </c>
      <c r="AC45" s="3">
        <v>0</v>
      </c>
      <c r="AD45" s="1">
        <v>307580</v>
      </c>
      <c r="AE45" s="1">
        <v>0</v>
      </c>
      <c r="AF45" s="1">
        <v>0</v>
      </c>
      <c r="AG45" s="1">
        <v>0</v>
      </c>
      <c r="AH45" s="1">
        <v>0</v>
      </c>
      <c r="AI45" s="1">
        <f>Table1[[#This Row],[NWS_pin]]*Table1[[#This Row],[Perc_pop_Northern_Aleppo]]</f>
        <v>0</v>
      </c>
      <c r="AJ45" s="1">
        <f>Table1[[#This Row],[NWS_pin]]*Table1[[#This Row],[Perc_pop_Afrin District]]</f>
        <v>0</v>
      </c>
      <c r="AK45" s="1">
        <f>Table1[[#This Row],[NWS_pin]]*Table1[[#This Row],[Perc_pop_Euphrates Shiled]]</f>
        <v>0</v>
      </c>
      <c r="AL45" s="1">
        <f>Table1[[#This Row],[NWS_pin]]*Table1[[#This Row],[Perc_Pop_Idleb_NSAG]]</f>
        <v>0</v>
      </c>
      <c r="AM45" s="4">
        <v>0.46010995808972199</v>
      </c>
      <c r="AN45" s="4">
        <v>0.53989004191027801</v>
      </c>
      <c r="AO45" s="4">
        <v>0.27611899610186702</v>
      </c>
      <c r="AP45" s="4">
        <v>0.42433966128177503</v>
      </c>
      <c r="AQ45" s="4">
        <v>0.55832783331778801</v>
      </c>
      <c r="AR45" s="4">
        <v>6.7887034284174301E-3</v>
      </c>
      <c r="AS45" s="4">
        <v>0</v>
      </c>
      <c r="AT45" s="4">
        <v>1.0543801972019699E-2</v>
      </c>
      <c r="AU45" s="4">
        <v>1.7391894713029099E-2</v>
      </c>
      <c r="AV45" s="4">
        <v>1.8475528471290501E-2</v>
      </c>
      <c r="AW45" s="4">
        <v>1.64683905836806E-2</v>
      </c>
      <c r="AX45" s="4">
        <v>6.0387262071345697E-2</v>
      </c>
      <c r="AY45" s="4">
        <v>6.7503796443924693E-2</v>
      </c>
      <c r="AZ45" s="4">
        <v>5.4322344999851398E-2</v>
      </c>
      <c r="BA45" s="4">
        <v>9.2144327092266304E-2</v>
      </c>
      <c r="BB45" s="4">
        <v>5.4986097770331602E-2</v>
      </c>
      <c r="BC45" s="4">
        <v>0.123811648229567</v>
      </c>
      <c r="BD45" s="4">
        <v>8.1071711639229202E-2</v>
      </c>
      <c r="BE45" s="4">
        <v>6.9095355490274596E-2</v>
      </c>
      <c r="BF45" s="4">
        <v>9.1278309831456794E-2</v>
      </c>
      <c r="BG45" s="4">
        <v>0.10233864729423101</v>
      </c>
      <c r="BH45" s="4">
        <v>8.4064793995193399E-2</v>
      </c>
      <c r="BI45" s="4">
        <v>0.117912155273389</v>
      </c>
      <c r="BJ45" s="4">
        <v>6.56954757035947E-2</v>
      </c>
      <c r="BK45" s="4">
        <v>7.7037553789030003E-2</v>
      </c>
      <c r="BL45" s="4">
        <v>5.6029427680046803E-2</v>
      </c>
      <c r="BM45" s="4">
        <v>3.9689307597236198E-2</v>
      </c>
      <c r="BN45" s="4">
        <v>5.2397653420091402E-2</v>
      </c>
      <c r="BO45" s="4">
        <v>2.88588865669566E-2</v>
      </c>
      <c r="BP45" s="4">
        <v>3.1484307133702497E-2</v>
      </c>
      <c r="BQ45" s="4">
        <v>3.5874712216303097E-2</v>
      </c>
      <c r="BR45" s="4">
        <v>2.7742676539063801E-2</v>
      </c>
      <c r="BS45" s="4">
        <v>8.7104343140123497E-2</v>
      </c>
      <c r="BT45" s="4">
        <v>9.9945531165997803E-2</v>
      </c>
      <c r="BU45" s="4">
        <v>7.6160710130146303E-2</v>
      </c>
      <c r="BV45" s="4">
        <v>5.3524979035023297E-2</v>
      </c>
      <c r="BW45" s="4">
        <v>6.0054708006694699E-2</v>
      </c>
      <c r="BX45" s="4">
        <v>4.79601545517589E-2</v>
      </c>
      <c r="BY45" s="4">
        <v>7.7802033076723301E-2</v>
      </c>
      <c r="BZ45" s="4">
        <v>0.103591752666363</v>
      </c>
      <c r="CA45" s="4">
        <v>5.5823285779311602E-2</v>
      </c>
      <c r="CB45" s="4">
        <v>0.108070857820406</v>
      </c>
      <c r="CC45" s="4">
        <v>0.13652407875306</v>
      </c>
      <c r="CD45" s="4">
        <v>8.3822197399628803E-2</v>
      </c>
      <c r="CE45" s="4">
        <v>8.5656627302917496E-2</v>
      </c>
      <c r="CF45" s="4">
        <v>6.2731777248752604E-2</v>
      </c>
      <c r="CG45" s="4">
        <v>0.105193849660851</v>
      </c>
      <c r="CH45" s="4">
        <v>3.1893428410361899E-2</v>
      </c>
      <c r="CI45" s="4">
        <v>2.6378990090348501E-2</v>
      </c>
      <c r="CJ45" s="4">
        <v>3.6592992742632599E-2</v>
      </c>
      <c r="CK45" s="4">
        <v>3.19527986690019E-2</v>
      </c>
      <c r="CL45" s="4">
        <v>2.5501530557332799E-2</v>
      </c>
      <c r="CM45" s="4">
        <v>3.7450756530908298E-2</v>
      </c>
      <c r="CN45" s="4">
        <v>1.8206810618701299E-2</v>
      </c>
      <c r="CO45" s="4">
        <v>7.0345168029169397E-3</v>
      </c>
      <c r="CP45" s="4">
        <v>2.7728163561530499E-2</v>
      </c>
      <c r="CQ45" s="4">
        <v>1.5585188682107801E-2</v>
      </c>
      <c r="CR45" s="4">
        <v>1.88016231120939E-2</v>
      </c>
      <c r="CS45" s="4">
        <v>1.28440499392205E-2</v>
      </c>
      <c r="CT45" s="1">
        <f>Table1[[#This Row],[Female %]]*Table1[[#This Row],[NWS_pin]]</f>
        <v>0</v>
      </c>
      <c r="CU45" s="1">
        <f>Table1[[#This Row],[Male %]]*Table1[[#This Row],[NWS_pin]]</f>
        <v>0</v>
      </c>
      <c r="CV45" s="1">
        <f>Table1[[#This Row],[Female% (0-2)22]]+Table1[[#This Row],[Male%(0-2)3]]</f>
        <v>0</v>
      </c>
      <c r="CW45" s="1">
        <f>$CT45*Table1[[#This Row],[Female% (0-2)]]</f>
        <v>0</v>
      </c>
      <c r="CX45" s="1">
        <f>$CU45*Table1[[#This Row],[Male%(0-2)]]</f>
        <v>0</v>
      </c>
      <c r="CY45" s="1">
        <f>Table1[[#This Row],[Female%  (3-5)5]]+Table1[[#This Row],[Male% (3-5)6]]</f>
        <v>0</v>
      </c>
      <c r="CZ45" s="1">
        <f>$AF45*Table1[[#This Row],[Female%  (3-5)]]</f>
        <v>0</v>
      </c>
      <c r="DA45" s="1">
        <f>$CU45*Table1[[#This Row],[Male% (3-5)]]</f>
        <v>0</v>
      </c>
      <c r="DB45" s="1">
        <f>Table1[[#This Row],[Female% (6-8)8]]+Table1[[#This Row],[Male%(6-8)9]]</f>
        <v>0</v>
      </c>
      <c r="DC45" s="1">
        <f>$CT45*Table1[[#This Row],[Female% (6-8)]]</f>
        <v>0</v>
      </c>
      <c r="DD45" s="1">
        <f>$CU45*Table1[[#This Row],[Male%(6-8)]]</f>
        <v>0</v>
      </c>
      <c r="DE45" s="1">
        <f>Table1[[#This Row],[Female% (9 - 11)11]]+Table1[[#This Row],[Male% (9 - 11)12]]</f>
        <v>0</v>
      </c>
      <c r="DF45" s="1">
        <f>$CT45*Table1[[#This Row],[Female% (9 - 11)]]</f>
        <v>0</v>
      </c>
      <c r="DG45" s="1">
        <f>$CU45*Table1[[#This Row],[Male% (9 - 11)]]</f>
        <v>0</v>
      </c>
      <c r="DH45" s="1">
        <f>Table1[[#This Row],[Female% (12-14)14]]+Table1[[#This Row],[Male%(12-14)15]]</f>
        <v>0</v>
      </c>
      <c r="DI45" s="1">
        <f>$CT45*Table1[[#This Row],[Female% (12-14)]]</f>
        <v>0</v>
      </c>
      <c r="DJ45" s="1">
        <f>$CU45*Table1[[#This Row],[Male%(12-14)]]</f>
        <v>0</v>
      </c>
      <c r="DK45" s="1">
        <f>Table1[[#This Row],[Female% (15-17)17]]+Table1[[#This Row],[Male%(15-17)18]]</f>
        <v>0</v>
      </c>
      <c r="DL45" s="1">
        <f>$CT45*Table1[[#This Row],[Female% (15-17)]]</f>
        <v>0</v>
      </c>
      <c r="DM45" s="1">
        <f>$CU45*Table1[[#This Row],[Male%(15-17)]]</f>
        <v>0</v>
      </c>
      <c r="DN45" s="1">
        <f>$AF45*Table1[[#This Row],[Total% (18-19)]]</f>
        <v>0</v>
      </c>
      <c r="DO45" s="1">
        <f>$CT45*Table1[[#This Row],[Female% (18-19)]]</f>
        <v>0</v>
      </c>
      <c r="DP45" s="1">
        <f>$CU45*Table1[[#This Row],[Male%(18-19)]]</f>
        <v>0</v>
      </c>
      <c r="DQ45" s="1">
        <f>$AF45*Table1[[#This Row],[Total% (20-24)]]</f>
        <v>0</v>
      </c>
      <c r="DR45" s="1">
        <f>$CT45*Table1[[#This Row],[Female% (20-24)]]</f>
        <v>0</v>
      </c>
      <c r="DS45" s="1">
        <f>$CU45*Table1[[#This Row],[Male% (20-24)]]</f>
        <v>0</v>
      </c>
      <c r="DT45" s="1">
        <f>$AF45*Table1[[#This Row],[Total% (25-29)]]</f>
        <v>0</v>
      </c>
      <c r="DU45" s="1">
        <f>$CT45*Table1[[#This Row],[Female% (25-29)]]</f>
        <v>0</v>
      </c>
      <c r="DV45" s="1">
        <f>$CU45*Table1[[#This Row],[Male% (25-29)]]</f>
        <v>0</v>
      </c>
      <c r="DW45" s="1">
        <f>$AF45*Table1[[#This Row],[Total%   (30-34)]]</f>
        <v>0</v>
      </c>
      <c r="DX45" s="1">
        <f>$CT45*Table1[[#This Row],[Female%   (30-34)]]</f>
        <v>0</v>
      </c>
      <c r="DY45" s="1">
        <f>$CU45*Table1[[#This Row],[Male%  (30-34)]]</f>
        <v>0</v>
      </c>
      <c r="DZ45" s="1">
        <f>$AF45*Table1[[#This Row],[Total% (35-39)]]</f>
        <v>0</v>
      </c>
      <c r="EA45" s="1">
        <f>$CT45*Table1[[#This Row],[Female% (35-39)]]</f>
        <v>0</v>
      </c>
      <c r="EB45" s="1">
        <f>$CU45*Table1[[#This Row],[Male% (35-39)]]</f>
        <v>0</v>
      </c>
      <c r="EC45" s="1">
        <f>$AF45*Table1[[#This Row],[Total% (40-44)]]</f>
        <v>0</v>
      </c>
      <c r="ED45" s="1">
        <f>$CT45*Table1[[#This Row],[Female% (40-44)]]</f>
        <v>0</v>
      </c>
      <c r="EE45" s="1">
        <f>$CU45*Table1[[#This Row],[Male%(55-59)]]</f>
        <v>0</v>
      </c>
      <c r="EF45" s="1">
        <f>$AF45*Table1[[#This Row],[Total% (45-49)]]</f>
        <v>0</v>
      </c>
      <c r="EG45" s="1">
        <f>$CT45*Table1[[#This Row],[Female% (45-49)]]</f>
        <v>0</v>
      </c>
      <c r="EH45" s="1">
        <f>$CU45*Table1[[#This Row],[Male% (45-49)]]</f>
        <v>0</v>
      </c>
      <c r="EI45" s="1">
        <f>$AF45*Table1[[#This Row],[Total% (50-54)]]</f>
        <v>0</v>
      </c>
      <c r="EJ45" s="1">
        <f>$CT45*Table1[[#This Row],[Female%(50-54)]]</f>
        <v>0</v>
      </c>
      <c r="EK45" s="1">
        <f>$CU45*Table1[[#This Row],[Male% (50-54)]]</f>
        <v>0</v>
      </c>
      <c r="EL45" s="1">
        <f>$AF45*Table1[[#This Row],[Total% (55-59)]]</f>
        <v>0</v>
      </c>
      <c r="EM45" s="1">
        <f>$CT45*Table1[[#This Row],[Female% (55-59)]]</f>
        <v>0</v>
      </c>
      <c r="EN45" s="1">
        <f>$CU45*Table1[[#This Row],[Male% (55-59)]]</f>
        <v>0</v>
      </c>
      <c r="EO45" s="1">
        <f>$AF45*Table1[[#This Row],[Total% (60-64)]]</f>
        <v>0</v>
      </c>
      <c r="EP45" s="1">
        <f>$CT45*Table1[[#This Row],[Female%(60-64)]]</f>
        <v>0</v>
      </c>
      <c r="EQ45" s="1">
        <f>$CU45*Table1[[#This Row],[Male%(60-64)]]</f>
        <v>0</v>
      </c>
      <c r="ER45" s="1">
        <f>$AF45*Table1[[#This Row],[Total% (&gt;=65)]]</f>
        <v>0</v>
      </c>
      <c r="ES45" s="1">
        <f>$CT45*Table1[[#This Row],[Female%(&gt;=65)]]</f>
        <v>0</v>
      </c>
      <c r="ET45" s="1">
        <f>$CU45*Table1[[#This Row],[Male% (&gt;=65)]]</f>
        <v>0</v>
      </c>
    </row>
    <row r="46" spans="1:150" hidden="1" x14ac:dyDescent="0.35">
      <c r="A46" t="s">
        <v>104</v>
      </c>
      <c r="B46" t="s">
        <v>105</v>
      </c>
      <c r="C46" t="s">
        <v>104</v>
      </c>
      <c r="D46" t="s">
        <v>141</v>
      </c>
      <c r="E46" t="s">
        <v>142</v>
      </c>
      <c r="F46" t="s">
        <v>143</v>
      </c>
      <c r="H46">
        <v>3</v>
      </c>
      <c r="I46" s="1">
        <v>0</v>
      </c>
      <c r="J46" s="1">
        <v>376701</v>
      </c>
      <c r="K46" s="1">
        <v>226850</v>
      </c>
      <c r="L46" s="1">
        <v>0</v>
      </c>
      <c r="M46" s="1">
        <v>0</v>
      </c>
      <c r="N46" s="1">
        <v>226850</v>
      </c>
      <c r="O46" s="3">
        <v>1</v>
      </c>
      <c r="P46" s="3">
        <v>0</v>
      </c>
      <c r="Q46" s="3">
        <v>0</v>
      </c>
      <c r="R46" s="3">
        <v>0</v>
      </c>
      <c r="S46" s="3">
        <v>0</v>
      </c>
      <c r="T46" s="1">
        <v>603551</v>
      </c>
      <c r="U46" s="1">
        <v>0</v>
      </c>
      <c r="V46" s="10">
        <f>Table1[[#This Row],[Pop NW+RATAA]]*Table1[[#This Row],[Perc_pop_Northern_Aleppo]]</f>
        <v>0</v>
      </c>
      <c r="W46" s="10">
        <f>Table1[[#This Row],[Pop NW+RATAA]]*Table1[[#This Row],[Perc_pop_Afrin District]]</f>
        <v>0</v>
      </c>
      <c r="X46" s="10">
        <f>Table1[[#This Row],[Pop NW+RATAA]]*Table1[[#This Row],[Perc_pop_Euphrates Shiled]]</f>
        <v>0</v>
      </c>
      <c r="Y46" s="10">
        <f>Table1[[#This Row],[Pop NW+RATAA]]*Table1[[#This Row],[Perc_Pop_Idleb_NSAG]]</f>
        <v>0</v>
      </c>
      <c r="Z46" s="3">
        <v>0</v>
      </c>
      <c r="AA46" s="3">
        <v>0</v>
      </c>
      <c r="AB46" s="3">
        <v>0</v>
      </c>
      <c r="AC46" s="3">
        <v>0</v>
      </c>
      <c r="AD46" s="1">
        <v>226850</v>
      </c>
      <c r="AE46" s="1">
        <v>0</v>
      </c>
      <c r="AF46" s="1">
        <v>0</v>
      </c>
      <c r="AG46" s="1">
        <v>0</v>
      </c>
      <c r="AH46" s="1">
        <v>0</v>
      </c>
      <c r="AI46" s="1">
        <f>Table1[[#This Row],[NWS_pin]]*Table1[[#This Row],[Perc_pop_Northern_Aleppo]]</f>
        <v>0</v>
      </c>
      <c r="AJ46" s="1">
        <f>Table1[[#This Row],[NWS_pin]]*Table1[[#This Row],[Perc_pop_Afrin District]]</f>
        <v>0</v>
      </c>
      <c r="AK46" s="1">
        <f>Table1[[#This Row],[NWS_pin]]*Table1[[#This Row],[Perc_pop_Euphrates Shiled]]</f>
        <v>0</v>
      </c>
      <c r="AL46" s="1">
        <f>Table1[[#This Row],[NWS_pin]]*Table1[[#This Row],[Perc_Pop_Idleb_NSAG]]</f>
        <v>0</v>
      </c>
      <c r="AM46" s="4">
        <v>0.50658147442866897</v>
      </c>
      <c r="AN46" s="4">
        <v>0.49341852557133198</v>
      </c>
      <c r="AO46" s="4">
        <v>0.18957072425854801</v>
      </c>
      <c r="AP46" s="4">
        <v>0.41580634572992697</v>
      </c>
      <c r="AQ46" s="4">
        <v>0.52068466639733602</v>
      </c>
      <c r="AR46" s="4">
        <v>1.36732005154836E-2</v>
      </c>
      <c r="AS46" s="4">
        <v>0</v>
      </c>
      <c r="AT46" s="4">
        <v>4.98357873572539E-2</v>
      </c>
      <c r="AU46" s="4">
        <v>3.8775998936148602E-2</v>
      </c>
      <c r="AV46" s="4">
        <v>3.6441019310806802E-2</v>
      </c>
      <c r="AW46" s="4">
        <v>4.1173268921090599E-2</v>
      </c>
      <c r="AX46" s="4">
        <v>6.23696422069452E-2</v>
      </c>
      <c r="AY46" s="4">
        <v>4.0384309716883303E-2</v>
      </c>
      <c r="AZ46" s="4">
        <v>8.4941478430005699E-2</v>
      </c>
      <c r="BA46" s="4">
        <v>9.69710358729996E-2</v>
      </c>
      <c r="BB46" s="4">
        <v>8.6231427779149897E-2</v>
      </c>
      <c r="BC46" s="4">
        <v>0.10799714498933</v>
      </c>
      <c r="BD46" s="4">
        <v>7.1701076203742706E-2</v>
      </c>
      <c r="BE46" s="4">
        <v>6.9293384066732105E-2</v>
      </c>
      <c r="BF46" s="4">
        <v>7.4172998455394698E-2</v>
      </c>
      <c r="BG46" s="4">
        <v>7.9996710451341602E-2</v>
      </c>
      <c r="BH46" s="4">
        <v>8.99408604534951E-2</v>
      </c>
      <c r="BI46" s="4">
        <v>6.9787279899057905E-2</v>
      </c>
      <c r="BJ46" s="4">
        <v>5.2267422236870698E-2</v>
      </c>
      <c r="BK46" s="4">
        <v>3.5868319609290301E-2</v>
      </c>
      <c r="BL46" s="4">
        <v>6.9104004484704704E-2</v>
      </c>
      <c r="BM46" s="4">
        <v>2.5322139036864699E-2</v>
      </c>
      <c r="BN46" s="4">
        <v>1.8628849456289402E-2</v>
      </c>
      <c r="BO46" s="4">
        <v>3.21939858135534E-2</v>
      </c>
      <c r="BP46" s="4">
        <v>6.11103934500924E-2</v>
      </c>
      <c r="BQ46" s="4">
        <v>8.8460945168807703E-2</v>
      </c>
      <c r="BR46" s="4">
        <v>3.3030209796547499E-2</v>
      </c>
      <c r="BS46" s="4">
        <v>8.6682584707155799E-2</v>
      </c>
      <c r="BT46" s="4">
        <v>0.12937448030075999</v>
      </c>
      <c r="BU46" s="4">
        <v>4.2851795437699999E-2</v>
      </c>
      <c r="BV46" s="4">
        <v>0.10574168765672599</v>
      </c>
      <c r="BW46" s="4">
        <v>0.12596461576293499</v>
      </c>
      <c r="BX46" s="4">
        <v>8.4979271560885403E-2</v>
      </c>
      <c r="BY46" s="4">
        <v>8.5801639816539599E-2</v>
      </c>
      <c r="BZ46" s="4">
        <v>5.33997784517206E-2</v>
      </c>
      <c r="CA46" s="4">
        <v>0.119067887137548</v>
      </c>
      <c r="CB46" s="4">
        <v>6.53243519480598E-2</v>
      </c>
      <c r="CC46" s="4">
        <v>5.9704687196796002E-2</v>
      </c>
      <c r="CD46" s="4">
        <v>7.1093932756145103E-2</v>
      </c>
      <c r="CE46" s="4">
        <v>4.14649686897594E-2</v>
      </c>
      <c r="CF46" s="4">
        <v>5.0457846030310803E-2</v>
      </c>
      <c r="CG46" s="4">
        <v>3.22321879439256E-2</v>
      </c>
      <c r="CH46" s="4">
        <v>3.2400785691733797E-2</v>
      </c>
      <c r="CI46" s="4">
        <v>2.7437367162282102E-2</v>
      </c>
      <c r="CJ46" s="4">
        <v>3.7496613567156299E-2</v>
      </c>
      <c r="CK46" s="4">
        <v>4.9639099196212601E-2</v>
      </c>
      <c r="CL46" s="4">
        <v>4.6869134836723197E-2</v>
      </c>
      <c r="CM46" s="4">
        <v>5.2482958023199702E-2</v>
      </c>
      <c r="CN46" s="4">
        <v>1.5767548852544298E-2</v>
      </c>
      <c r="CO46" s="4">
        <v>2.2489435152458999E-2</v>
      </c>
      <c r="CP46" s="4">
        <v>8.8663424805099592E-3</v>
      </c>
      <c r="CQ46" s="4">
        <v>2.86629150462628E-2</v>
      </c>
      <c r="CR46" s="4">
        <v>1.9053539544558799E-2</v>
      </c>
      <c r="CS46" s="4">
        <v>3.85286403032448E-2</v>
      </c>
      <c r="CT46" s="1">
        <f>Table1[[#This Row],[Female %]]*Table1[[#This Row],[NWS_pin]]</f>
        <v>0</v>
      </c>
      <c r="CU46" s="1">
        <f>Table1[[#This Row],[Male %]]*Table1[[#This Row],[NWS_pin]]</f>
        <v>0</v>
      </c>
      <c r="CV46" s="1">
        <f>Table1[[#This Row],[Female% (0-2)22]]+Table1[[#This Row],[Male%(0-2)3]]</f>
        <v>0</v>
      </c>
      <c r="CW46" s="1">
        <f>$CT46*Table1[[#This Row],[Female% (0-2)]]</f>
        <v>0</v>
      </c>
      <c r="CX46" s="1">
        <f>$CU46*Table1[[#This Row],[Male%(0-2)]]</f>
        <v>0</v>
      </c>
      <c r="CY46" s="1">
        <f>Table1[[#This Row],[Female%  (3-5)5]]+Table1[[#This Row],[Male% (3-5)6]]</f>
        <v>0</v>
      </c>
      <c r="CZ46" s="1">
        <f>$AF46*Table1[[#This Row],[Female%  (3-5)]]</f>
        <v>0</v>
      </c>
      <c r="DA46" s="1">
        <f>$CU46*Table1[[#This Row],[Male% (3-5)]]</f>
        <v>0</v>
      </c>
      <c r="DB46" s="1">
        <f>Table1[[#This Row],[Female% (6-8)8]]+Table1[[#This Row],[Male%(6-8)9]]</f>
        <v>0</v>
      </c>
      <c r="DC46" s="1">
        <f>$CT46*Table1[[#This Row],[Female% (6-8)]]</f>
        <v>0</v>
      </c>
      <c r="DD46" s="1">
        <f>$CU46*Table1[[#This Row],[Male%(6-8)]]</f>
        <v>0</v>
      </c>
      <c r="DE46" s="1">
        <f>Table1[[#This Row],[Female% (9 - 11)11]]+Table1[[#This Row],[Male% (9 - 11)12]]</f>
        <v>0</v>
      </c>
      <c r="DF46" s="1">
        <f>$CT46*Table1[[#This Row],[Female% (9 - 11)]]</f>
        <v>0</v>
      </c>
      <c r="DG46" s="1">
        <f>$CU46*Table1[[#This Row],[Male% (9 - 11)]]</f>
        <v>0</v>
      </c>
      <c r="DH46" s="1">
        <f>Table1[[#This Row],[Female% (12-14)14]]+Table1[[#This Row],[Male%(12-14)15]]</f>
        <v>0</v>
      </c>
      <c r="DI46" s="1">
        <f>$CT46*Table1[[#This Row],[Female% (12-14)]]</f>
        <v>0</v>
      </c>
      <c r="DJ46" s="1">
        <f>$CU46*Table1[[#This Row],[Male%(12-14)]]</f>
        <v>0</v>
      </c>
      <c r="DK46" s="1">
        <f>Table1[[#This Row],[Female% (15-17)17]]+Table1[[#This Row],[Male%(15-17)18]]</f>
        <v>0</v>
      </c>
      <c r="DL46" s="1">
        <f>$CT46*Table1[[#This Row],[Female% (15-17)]]</f>
        <v>0</v>
      </c>
      <c r="DM46" s="1">
        <f>$CU46*Table1[[#This Row],[Male%(15-17)]]</f>
        <v>0</v>
      </c>
      <c r="DN46" s="1">
        <f>$AF46*Table1[[#This Row],[Total% (18-19)]]</f>
        <v>0</v>
      </c>
      <c r="DO46" s="1">
        <f>$CT46*Table1[[#This Row],[Female% (18-19)]]</f>
        <v>0</v>
      </c>
      <c r="DP46" s="1">
        <f>$CU46*Table1[[#This Row],[Male%(18-19)]]</f>
        <v>0</v>
      </c>
      <c r="DQ46" s="1">
        <f>$AF46*Table1[[#This Row],[Total% (20-24)]]</f>
        <v>0</v>
      </c>
      <c r="DR46" s="1">
        <f>$CT46*Table1[[#This Row],[Female% (20-24)]]</f>
        <v>0</v>
      </c>
      <c r="DS46" s="1">
        <f>$CU46*Table1[[#This Row],[Male% (20-24)]]</f>
        <v>0</v>
      </c>
      <c r="DT46" s="1">
        <f>$AF46*Table1[[#This Row],[Total% (25-29)]]</f>
        <v>0</v>
      </c>
      <c r="DU46" s="1">
        <f>$CT46*Table1[[#This Row],[Female% (25-29)]]</f>
        <v>0</v>
      </c>
      <c r="DV46" s="1">
        <f>$CU46*Table1[[#This Row],[Male% (25-29)]]</f>
        <v>0</v>
      </c>
      <c r="DW46" s="1">
        <f>$AF46*Table1[[#This Row],[Total%   (30-34)]]</f>
        <v>0</v>
      </c>
      <c r="DX46" s="1">
        <f>$CT46*Table1[[#This Row],[Female%   (30-34)]]</f>
        <v>0</v>
      </c>
      <c r="DY46" s="1">
        <f>$CU46*Table1[[#This Row],[Male%  (30-34)]]</f>
        <v>0</v>
      </c>
      <c r="DZ46" s="1">
        <f>$AF46*Table1[[#This Row],[Total% (35-39)]]</f>
        <v>0</v>
      </c>
      <c r="EA46" s="1">
        <f>$CT46*Table1[[#This Row],[Female% (35-39)]]</f>
        <v>0</v>
      </c>
      <c r="EB46" s="1">
        <f>$CU46*Table1[[#This Row],[Male% (35-39)]]</f>
        <v>0</v>
      </c>
      <c r="EC46" s="1">
        <f>$AF46*Table1[[#This Row],[Total% (40-44)]]</f>
        <v>0</v>
      </c>
      <c r="ED46" s="1">
        <f>$CT46*Table1[[#This Row],[Female% (40-44)]]</f>
        <v>0</v>
      </c>
      <c r="EE46" s="1">
        <f>$CU46*Table1[[#This Row],[Male%(55-59)]]</f>
        <v>0</v>
      </c>
      <c r="EF46" s="1">
        <f>$AF46*Table1[[#This Row],[Total% (45-49)]]</f>
        <v>0</v>
      </c>
      <c r="EG46" s="1">
        <f>$CT46*Table1[[#This Row],[Female% (45-49)]]</f>
        <v>0</v>
      </c>
      <c r="EH46" s="1">
        <f>$CU46*Table1[[#This Row],[Male% (45-49)]]</f>
        <v>0</v>
      </c>
      <c r="EI46" s="1">
        <f>$AF46*Table1[[#This Row],[Total% (50-54)]]</f>
        <v>0</v>
      </c>
      <c r="EJ46" s="1">
        <f>$CT46*Table1[[#This Row],[Female%(50-54)]]</f>
        <v>0</v>
      </c>
      <c r="EK46" s="1">
        <f>$CU46*Table1[[#This Row],[Male% (50-54)]]</f>
        <v>0</v>
      </c>
      <c r="EL46" s="1">
        <f>$AF46*Table1[[#This Row],[Total% (55-59)]]</f>
        <v>0</v>
      </c>
      <c r="EM46" s="1">
        <f>$CT46*Table1[[#This Row],[Female% (55-59)]]</f>
        <v>0</v>
      </c>
      <c r="EN46" s="1">
        <f>$CU46*Table1[[#This Row],[Male% (55-59)]]</f>
        <v>0</v>
      </c>
      <c r="EO46" s="1">
        <f>$AF46*Table1[[#This Row],[Total% (60-64)]]</f>
        <v>0</v>
      </c>
      <c r="EP46" s="1">
        <f>$CT46*Table1[[#This Row],[Female%(60-64)]]</f>
        <v>0</v>
      </c>
      <c r="EQ46" s="1">
        <f>$CU46*Table1[[#This Row],[Male%(60-64)]]</f>
        <v>0</v>
      </c>
      <c r="ER46" s="1">
        <f>$AF46*Table1[[#This Row],[Total% (&gt;=65)]]</f>
        <v>0</v>
      </c>
      <c r="ES46" s="1">
        <f>$CT46*Table1[[#This Row],[Female%(&gt;=65)]]</f>
        <v>0</v>
      </c>
      <c r="ET46" s="1">
        <f>$CU46*Table1[[#This Row],[Male% (&gt;=65)]]</f>
        <v>0</v>
      </c>
    </row>
    <row r="47" spans="1:150" hidden="1" x14ac:dyDescent="0.35">
      <c r="A47" t="s">
        <v>104</v>
      </c>
      <c r="B47" t="s">
        <v>105</v>
      </c>
      <c r="C47" t="s">
        <v>104</v>
      </c>
      <c r="D47" t="s">
        <v>141</v>
      </c>
      <c r="E47" t="s">
        <v>388</v>
      </c>
      <c r="F47" t="s">
        <v>389</v>
      </c>
      <c r="H47">
        <v>4</v>
      </c>
      <c r="I47" s="1">
        <v>0</v>
      </c>
      <c r="J47" s="1">
        <v>0</v>
      </c>
      <c r="K47" s="1">
        <v>347</v>
      </c>
      <c r="L47" s="1">
        <v>18914</v>
      </c>
      <c r="M47" s="1">
        <v>0</v>
      </c>
      <c r="N47" s="1">
        <v>19261</v>
      </c>
      <c r="O47" s="3">
        <v>1</v>
      </c>
      <c r="P47" s="3">
        <v>0</v>
      </c>
      <c r="Q47" s="3">
        <v>0</v>
      </c>
      <c r="R47" s="3">
        <v>0</v>
      </c>
      <c r="S47" s="3">
        <v>0</v>
      </c>
      <c r="T47" s="1">
        <v>19261</v>
      </c>
      <c r="U47" s="1">
        <v>0</v>
      </c>
      <c r="V47" s="10">
        <f>Table1[[#This Row],[Pop NW+RATAA]]*Table1[[#This Row],[Perc_pop_Northern_Aleppo]]</f>
        <v>0</v>
      </c>
      <c r="W47" s="10">
        <f>Table1[[#This Row],[Pop NW+RATAA]]*Table1[[#This Row],[Perc_pop_Afrin District]]</f>
        <v>0</v>
      </c>
      <c r="X47" s="10">
        <f>Table1[[#This Row],[Pop NW+RATAA]]*Table1[[#This Row],[Perc_pop_Euphrates Shiled]]</f>
        <v>0</v>
      </c>
      <c r="Y47" s="10">
        <f>Table1[[#This Row],[Pop NW+RATAA]]*Table1[[#This Row],[Perc_Pop_Idleb_NSAG]]</f>
        <v>0</v>
      </c>
      <c r="Z47" s="3">
        <v>0</v>
      </c>
      <c r="AA47" s="3">
        <v>0</v>
      </c>
      <c r="AB47" s="3">
        <v>0</v>
      </c>
      <c r="AC47" s="3">
        <v>0</v>
      </c>
      <c r="AD47" s="1">
        <v>19261</v>
      </c>
      <c r="AE47" s="1">
        <v>0</v>
      </c>
      <c r="AF47" s="1">
        <v>0</v>
      </c>
      <c r="AG47" s="1">
        <v>0</v>
      </c>
      <c r="AH47" s="1">
        <v>0</v>
      </c>
      <c r="AI47" s="1">
        <f>Table1[[#This Row],[NWS_pin]]*Table1[[#This Row],[Perc_pop_Northern_Aleppo]]</f>
        <v>0</v>
      </c>
      <c r="AJ47" s="1">
        <f>Table1[[#This Row],[NWS_pin]]*Table1[[#This Row],[Perc_pop_Afrin District]]</f>
        <v>0</v>
      </c>
      <c r="AK47" s="1">
        <f>Table1[[#This Row],[NWS_pin]]*Table1[[#This Row],[Perc_pop_Euphrates Shiled]]</f>
        <v>0</v>
      </c>
      <c r="AL47" s="1">
        <f>Table1[[#This Row],[NWS_pin]]*Table1[[#This Row],[Perc_Pop_Idleb_NSAG]]</f>
        <v>0</v>
      </c>
      <c r="AM47" s="4">
        <v>0.54508496697224096</v>
      </c>
      <c r="AN47" s="4">
        <v>0.45491503302775899</v>
      </c>
      <c r="AO47" s="4">
        <v>0.18783506056233301</v>
      </c>
      <c r="AP47" s="4">
        <v>0.44421912471970398</v>
      </c>
      <c r="AQ47" s="4">
        <v>0.50161846188791603</v>
      </c>
      <c r="AR47" s="4">
        <v>4.7509952912975304E-3</v>
      </c>
      <c r="AS47" s="4">
        <v>3.14203509863207E-3</v>
      </c>
      <c r="AT47" s="4">
        <v>4.62693830024501E-2</v>
      </c>
      <c r="AU47" s="4">
        <v>3.34160583394634E-2</v>
      </c>
      <c r="AV47" s="4">
        <v>3.6962884925840302E-2</v>
      </c>
      <c r="AW47" s="4">
        <v>2.9166205702534899E-2</v>
      </c>
      <c r="AX47" s="4">
        <v>9.5159193816820101E-2</v>
      </c>
      <c r="AY47" s="4">
        <v>9.9598716700938505E-2</v>
      </c>
      <c r="AZ47" s="4">
        <v>8.9839701144625694E-2</v>
      </c>
      <c r="BA47" s="4">
        <v>0.13110176581913</v>
      </c>
      <c r="BB47" s="4">
        <v>0.154434836038704</v>
      </c>
      <c r="BC47" s="4">
        <v>0.103143784907074</v>
      </c>
      <c r="BD47" s="4">
        <v>0.12513691755616099</v>
      </c>
      <c r="BE47" s="4">
        <v>0.110486511851819</v>
      </c>
      <c r="BF47" s="4">
        <v>0.14269121963391601</v>
      </c>
      <c r="BG47" s="4">
        <v>7.6936349177908994E-2</v>
      </c>
      <c r="BH47" s="4">
        <v>4.76481855414174E-2</v>
      </c>
      <c r="BI47" s="4">
        <v>0.112029798612235</v>
      </c>
      <c r="BJ47" s="4">
        <v>7.8918425430833994E-2</v>
      </c>
      <c r="BK47" s="4">
        <v>5.6550000467507203E-2</v>
      </c>
      <c r="BL47" s="4">
        <v>0.105720556152269</v>
      </c>
      <c r="BM47" s="4">
        <v>1.3549489814664599E-2</v>
      </c>
      <c r="BN47" s="4">
        <v>2.4857573838308701E-2</v>
      </c>
      <c r="BO47" s="4">
        <v>0</v>
      </c>
      <c r="BP47" s="4">
        <v>2.4379463606337502E-2</v>
      </c>
      <c r="BQ47" s="4">
        <v>2.9030340344630898E-2</v>
      </c>
      <c r="BR47" s="4">
        <v>1.8806724063280999E-2</v>
      </c>
      <c r="BS47" s="4">
        <v>9.2261708050290298E-2</v>
      </c>
      <c r="BT47" s="4">
        <v>0.152560755987144</v>
      </c>
      <c r="BU47" s="4">
        <v>2.00106234150812E-2</v>
      </c>
      <c r="BV47" s="4">
        <v>6.4435651333505095E-2</v>
      </c>
      <c r="BW47" s="4">
        <v>3.8851857668143197E-2</v>
      </c>
      <c r="BX47" s="4">
        <v>9.5090477647537794E-2</v>
      </c>
      <c r="BY47" s="4">
        <v>7.1639482734693394E-2</v>
      </c>
      <c r="BZ47" s="4">
        <v>7.3598446664162501E-2</v>
      </c>
      <c r="CA47" s="4">
        <v>6.9292227288577202E-2</v>
      </c>
      <c r="CB47" s="4">
        <v>5.4276503202779901E-2</v>
      </c>
      <c r="CC47" s="4">
        <v>5.3967402796710799E-2</v>
      </c>
      <c r="CD47" s="4">
        <v>5.4646871232853299E-2</v>
      </c>
      <c r="CE47" s="4">
        <v>6.1280055455398698E-2</v>
      </c>
      <c r="CF47" s="4">
        <v>3.8170224551931101E-2</v>
      </c>
      <c r="CG47" s="4">
        <v>8.8970548185239903E-2</v>
      </c>
      <c r="CH47" s="4">
        <v>2.1728644474020498E-2</v>
      </c>
      <c r="CI47" s="4">
        <v>2.2807832119039799E-2</v>
      </c>
      <c r="CJ47" s="4">
        <v>2.0435548139245599E-2</v>
      </c>
      <c r="CK47" s="4">
        <v>2.04145218951522E-2</v>
      </c>
      <c r="CL47" s="4">
        <v>1.3164399197616E-2</v>
      </c>
      <c r="CM47" s="4">
        <v>2.9101710939727101E-2</v>
      </c>
      <c r="CN47" s="4">
        <v>4.8041326781297399E-3</v>
      </c>
      <c r="CO47" s="4">
        <v>8.8135482892053307E-3</v>
      </c>
      <c r="CP47" s="4">
        <v>0</v>
      </c>
      <c r="CQ47" s="4">
        <v>3.0561636614710699E-2</v>
      </c>
      <c r="CR47" s="4">
        <v>3.8496483016880897E-2</v>
      </c>
      <c r="CS47" s="4">
        <v>2.1054002935801699E-2</v>
      </c>
      <c r="CT47" s="1">
        <f>Table1[[#This Row],[Female %]]*Table1[[#This Row],[NWS_pin]]</f>
        <v>0</v>
      </c>
      <c r="CU47" s="1">
        <f>Table1[[#This Row],[Male %]]*Table1[[#This Row],[NWS_pin]]</f>
        <v>0</v>
      </c>
      <c r="CV47" s="1">
        <f>Table1[[#This Row],[Female% (0-2)22]]+Table1[[#This Row],[Male%(0-2)3]]</f>
        <v>0</v>
      </c>
      <c r="CW47" s="1">
        <f>$CT47*Table1[[#This Row],[Female% (0-2)]]</f>
        <v>0</v>
      </c>
      <c r="CX47" s="1">
        <f>$CU47*Table1[[#This Row],[Male%(0-2)]]</f>
        <v>0</v>
      </c>
      <c r="CY47" s="1">
        <f>Table1[[#This Row],[Female%  (3-5)5]]+Table1[[#This Row],[Male% (3-5)6]]</f>
        <v>0</v>
      </c>
      <c r="CZ47" s="1">
        <f>$AF47*Table1[[#This Row],[Female%  (3-5)]]</f>
        <v>0</v>
      </c>
      <c r="DA47" s="1">
        <f>$CU47*Table1[[#This Row],[Male% (3-5)]]</f>
        <v>0</v>
      </c>
      <c r="DB47" s="1">
        <f>Table1[[#This Row],[Female% (6-8)8]]+Table1[[#This Row],[Male%(6-8)9]]</f>
        <v>0</v>
      </c>
      <c r="DC47" s="1">
        <f>$CT47*Table1[[#This Row],[Female% (6-8)]]</f>
        <v>0</v>
      </c>
      <c r="DD47" s="1">
        <f>$CU47*Table1[[#This Row],[Male%(6-8)]]</f>
        <v>0</v>
      </c>
      <c r="DE47" s="1">
        <f>Table1[[#This Row],[Female% (9 - 11)11]]+Table1[[#This Row],[Male% (9 - 11)12]]</f>
        <v>0</v>
      </c>
      <c r="DF47" s="1">
        <f>$CT47*Table1[[#This Row],[Female% (9 - 11)]]</f>
        <v>0</v>
      </c>
      <c r="DG47" s="1">
        <f>$CU47*Table1[[#This Row],[Male% (9 - 11)]]</f>
        <v>0</v>
      </c>
      <c r="DH47" s="1">
        <f>Table1[[#This Row],[Female% (12-14)14]]+Table1[[#This Row],[Male%(12-14)15]]</f>
        <v>0</v>
      </c>
      <c r="DI47" s="1">
        <f>$CT47*Table1[[#This Row],[Female% (12-14)]]</f>
        <v>0</v>
      </c>
      <c r="DJ47" s="1">
        <f>$CU47*Table1[[#This Row],[Male%(12-14)]]</f>
        <v>0</v>
      </c>
      <c r="DK47" s="1">
        <f>Table1[[#This Row],[Female% (15-17)17]]+Table1[[#This Row],[Male%(15-17)18]]</f>
        <v>0</v>
      </c>
      <c r="DL47" s="1">
        <f>$CT47*Table1[[#This Row],[Female% (15-17)]]</f>
        <v>0</v>
      </c>
      <c r="DM47" s="1">
        <f>$CU47*Table1[[#This Row],[Male%(15-17)]]</f>
        <v>0</v>
      </c>
      <c r="DN47" s="1">
        <f>$AF47*Table1[[#This Row],[Total% (18-19)]]</f>
        <v>0</v>
      </c>
      <c r="DO47" s="1">
        <f>$CT47*Table1[[#This Row],[Female% (18-19)]]</f>
        <v>0</v>
      </c>
      <c r="DP47" s="1">
        <f>$CU47*Table1[[#This Row],[Male%(18-19)]]</f>
        <v>0</v>
      </c>
      <c r="DQ47" s="1">
        <f>$AF47*Table1[[#This Row],[Total% (20-24)]]</f>
        <v>0</v>
      </c>
      <c r="DR47" s="1">
        <f>$CT47*Table1[[#This Row],[Female% (20-24)]]</f>
        <v>0</v>
      </c>
      <c r="DS47" s="1">
        <f>$CU47*Table1[[#This Row],[Male% (20-24)]]</f>
        <v>0</v>
      </c>
      <c r="DT47" s="1">
        <f>$AF47*Table1[[#This Row],[Total% (25-29)]]</f>
        <v>0</v>
      </c>
      <c r="DU47" s="1">
        <f>$CT47*Table1[[#This Row],[Female% (25-29)]]</f>
        <v>0</v>
      </c>
      <c r="DV47" s="1">
        <f>$CU47*Table1[[#This Row],[Male% (25-29)]]</f>
        <v>0</v>
      </c>
      <c r="DW47" s="1">
        <f>$AF47*Table1[[#This Row],[Total%   (30-34)]]</f>
        <v>0</v>
      </c>
      <c r="DX47" s="1">
        <f>$CT47*Table1[[#This Row],[Female%   (30-34)]]</f>
        <v>0</v>
      </c>
      <c r="DY47" s="1">
        <f>$CU47*Table1[[#This Row],[Male%  (30-34)]]</f>
        <v>0</v>
      </c>
      <c r="DZ47" s="1">
        <f>$AF47*Table1[[#This Row],[Total% (35-39)]]</f>
        <v>0</v>
      </c>
      <c r="EA47" s="1">
        <f>$CT47*Table1[[#This Row],[Female% (35-39)]]</f>
        <v>0</v>
      </c>
      <c r="EB47" s="1">
        <f>$CU47*Table1[[#This Row],[Male% (35-39)]]</f>
        <v>0</v>
      </c>
      <c r="EC47" s="1">
        <f>$AF47*Table1[[#This Row],[Total% (40-44)]]</f>
        <v>0</v>
      </c>
      <c r="ED47" s="1">
        <f>$CT47*Table1[[#This Row],[Female% (40-44)]]</f>
        <v>0</v>
      </c>
      <c r="EE47" s="1">
        <f>$CU47*Table1[[#This Row],[Male%(55-59)]]</f>
        <v>0</v>
      </c>
      <c r="EF47" s="1">
        <f>$AF47*Table1[[#This Row],[Total% (45-49)]]</f>
        <v>0</v>
      </c>
      <c r="EG47" s="1">
        <f>$CT47*Table1[[#This Row],[Female% (45-49)]]</f>
        <v>0</v>
      </c>
      <c r="EH47" s="1">
        <f>$CU47*Table1[[#This Row],[Male% (45-49)]]</f>
        <v>0</v>
      </c>
      <c r="EI47" s="1">
        <f>$AF47*Table1[[#This Row],[Total% (50-54)]]</f>
        <v>0</v>
      </c>
      <c r="EJ47" s="1">
        <f>$CT47*Table1[[#This Row],[Female%(50-54)]]</f>
        <v>0</v>
      </c>
      <c r="EK47" s="1">
        <f>$CU47*Table1[[#This Row],[Male% (50-54)]]</f>
        <v>0</v>
      </c>
      <c r="EL47" s="1">
        <f>$AF47*Table1[[#This Row],[Total% (55-59)]]</f>
        <v>0</v>
      </c>
      <c r="EM47" s="1">
        <f>$CT47*Table1[[#This Row],[Female% (55-59)]]</f>
        <v>0</v>
      </c>
      <c r="EN47" s="1">
        <f>$CU47*Table1[[#This Row],[Male% (55-59)]]</f>
        <v>0</v>
      </c>
      <c r="EO47" s="1">
        <f>$AF47*Table1[[#This Row],[Total% (60-64)]]</f>
        <v>0</v>
      </c>
      <c r="EP47" s="1">
        <f>$CT47*Table1[[#This Row],[Female%(60-64)]]</f>
        <v>0</v>
      </c>
      <c r="EQ47" s="1">
        <f>$CU47*Table1[[#This Row],[Male%(60-64)]]</f>
        <v>0</v>
      </c>
      <c r="ER47" s="1">
        <f>$AF47*Table1[[#This Row],[Total% (&gt;=65)]]</f>
        <v>0</v>
      </c>
      <c r="ES47" s="1">
        <f>$CT47*Table1[[#This Row],[Female%(&gt;=65)]]</f>
        <v>0</v>
      </c>
      <c r="ET47" s="1">
        <f>$CU47*Table1[[#This Row],[Male% (&gt;=65)]]</f>
        <v>0</v>
      </c>
    </row>
    <row r="48" spans="1:150" hidden="1" x14ac:dyDescent="0.35">
      <c r="A48" t="s">
        <v>104</v>
      </c>
      <c r="B48" t="s">
        <v>105</v>
      </c>
      <c r="C48" t="s">
        <v>104</v>
      </c>
      <c r="D48" t="s">
        <v>141</v>
      </c>
      <c r="E48" t="s">
        <v>218</v>
      </c>
      <c r="F48" t="s">
        <v>219</v>
      </c>
      <c r="H48">
        <v>3</v>
      </c>
      <c r="I48" s="1">
        <v>0</v>
      </c>
      <c r="J48" s="1">
        <v>31109</v>
      </c>
      <c r="K48" s="1">
        <v>42420</v>
      </c>
      <c r="L48" s="1">
        <v>0</v>
      </c>
      <c r="M48" s="1">
        <v>0</v>
      </c>
      <c r="N48" s="1">
        <v>42420</v>
      </c>
      <c r="O48" s="3">
        <v>1</v>
      </c>
      <c r="P48" s="3">
        <v>0</v>
      </c>
      <c r="Q48" s="3">
        <v>0</v>
      </c>
      <c r="R48" s="3">
        <v>0</v>
      </c>
      <c r="S48" s="3">
        <v>0</v>
      </c>
      <c r="T48" s="1">
        <v>73529</v>
      </c>
      <c r="U48" s="1">
        <v>0</v>
      </c>
      <c r="V48" s="10">
        <f>Table1[[#This Row],[Pop NW+RATAA]]*Table1[[#This Row],[Perc_pop_Northern_Aleppo]]</f>
        <v>0</v>
      </c>
      <c r="W48" s="10">
        <f>Table1[[#This Row],[Pop NW+RATAA]]*Table1[[#This Row],[Perc_pop_Afrin District]]</f>
        <v>0</v>
      </c>
      <c r="X48" s="10">
        <f>Table1[[#This Row],[Pop NW+RATAA]]*Table1[[#This Row],[Perc_pop_Euphrates Shiled]]</f>
        <v>0</v>
      </c>
      <c r="Y48" s="10">
        <f>Table1[[#This Row],[Pop NW+RATAA]]*Table1[[#This Row],[Perc_Pop_Idleb_NSAG]]</f>
        <v>0</v>
      </c>
      <c r="Z48" s="3">
        <v>0</v>
      </c>
      <c r="AA48" s="3">
        <v>0</v>
      </c>
      <c r="AB48" s="3">
        <v>0</v>
      </c>
      <c r="AC48" s="3">
        <v>0</v>
      </c>
      <c r="AD48" s="1">
        <v>42420</v>
      </c>
      <c r="AE48" s="1">
        <v>0</v>
      </c>
      <c r="AF48" s="1">
        <v>0</v>
      </c>
      <c r="AG48" s="1">
        <v>0</v>
      </c>
      <c r="AH48" s="1">
        <v>0</v>
      </c>
      <c r="AI48" s="1">
        <f>Table1[[#This Row],[NWS_pin]]*Table1[[#This Row],[Perc_pop_Northern_Aleppo]]</f>
        <v>0</v>
      </c>
      <c r="AJ48" s="1">
        <f>Table1[[#This Row],[NWS_pin]]*Table1[[#This Row],[Perc_pop_Afrin District]]</f>
        <v>0</v>
      </c>
      <c r="AK48" s="1">
        <f>Table1[[#This Row],[NWS_pin]]*Table1[[#This Row],[Perc_pop_Euphrates Shiled]]</f>
        <v>0</v>
      </c>
      <c r="AL48" s="1">
        <f>Table1[[#This Row],[NWS_pin]]*Table1[[#This Row],[Perc_Pop_Idleb_NSAG]]</f>
        <v>0</v>
      </c>
      <c r="AM48" s="4">
        <v>0.50976095139176503</v>
      </c>
      <c r="AN48" s="4">
        <v>0.49023904860823497</v>
      </c>
      <c r="AO48" s="4">
        <v>0.189729091586927</v>
      </c>
      <c r="AP48" s="4">
        <v>0.41201488087781002</v>
      </c>
      <c r="AQ48" s="4">
        <v>0.57090039232923695</v>
      </c>
      <c r="AR48" s="4">
        <v>5.3714133397260904E-3</v>
      </c>
      <c r="AS48" s="4">
        <v>0</v>
      </c>
      <c r="AT48" s="4">
        <v>1.1713313453227301E-2</v>
      </c>
      <c r="AU48" s="4">
        <v>2.24821067193204E-2</v>
      </c>
      <c r="AV48" s="4">
        <v>1.9796915918022601E-2</v>
      </c>
      <c r="AW48" s="4">
        <v>2.5274225016351001E-2</v>
      </c>
      <c r="AX48" s="4">
        <v>4.7493012081346701E-2</v>
      </c>
      <c r="AY48" s="4">
        <v>6.7063279269925405E-2</v>
      </c>
      <c r="AZ48" s="4">
        <v>2.7143433545400299E-2</v>
      </c>
      <c r="BA48" s="4">
        <v>0.108618443765856</v>
      </c>
      <c r="BB48" s="4">
        <v>6.8443190961520198E-2</v>
      </c>
      <c r="BC48" s="4">
        <v>0.150393522985033</v>
      </c>
      <c r="BD48" s="4">
        <v>0.10084006337740101</v>
      </c>
      <c r="BE48" s="4">
        <v>9.7983886060325501E-2</v>
      </c>
      <c r="BF48" s="4">
        <v>0.103809977076911</v>
      </c>
      <c r="BG48" s="4">
        <v>7.6858377216940693E-2</v>
      </c>
      <c r="BH48" s="4">
        <v>7.7931507793669197E-2</v>
      </c>
      <c r="BI48" s="4">
        <v>7.5742513302563097E-2</v>
      </c>
      <c r="BJ48" s="4">
        <v>7.3407633779673701E-2</v>
      </c>
      <c r="BK48" s="4">
        <v>9.6711067011998095E-2</v>
      </c>
      <c r="BL48" s="4">
        <v>4.9176230081970203E-2</v>
      </c>
      <c r="BM48" s="4">
        <v>2.8915674332993701E-2</v>
      </c>
      <c r="BN48" s="4">
        <v>3.3561972177234202E-2</v>
      </c>
      <c r="BO48" s="4">
        <v>2.40843553749189E-2</v>
      </c>
      <c r="BP48" s="4">
        <v>3.4807677665245798E-2</v>
      </c>
      <c r="BQ48" s="4">
        <v>6.2166453167541998E-2</v>
      </c>
      <c r="BR48" s="4">
        <v>6.3594431385235496E-3</v>
      </c>
      <c r="BS48" s="4">
        <v>9.2960830923265694E-2</v>
      </c>
      <c r="BT48" s="4">
        <v>0.117468060625548</v>
      </c>
      <c r="BU48" s="4">
        <v>6.7477694146465594E-2</v>
      </c>
      <c r="BV48" s="4">
        <v>0.109598618681058</v>
      </c>
      <c r="BW48" s="4">
        <v>0.115463563853707</v>
      </c>
      <c r="BX48" s="4">
        <v>0.103500124406566</v>
      </c>
      <c r="BY48" s="4">
        <v>0.117891394145933</v>
      </c>
      <c r="BZ48" s="4">
        <v>9.4969520794196599E-2</v>
      </c>
      <c r="CA48" s="4">
        <v>0.14172604379417</v>
      </c>
      <c r="CB48" s="4">
        <v>8.4187120361116793E-2</v>
      </c>
      <c r="CC48" s="4">
        <v>0.101546106569154</v>
      </c>
      <c r="CD48" s="4">
        <v>6.6136878647962194E-2</v>
      </c>
      <c r="CE48" s="4">
        <v>6.4807584910383298E-2</v>
      </c>
      <c r="CF48" s="4">
        <v>1.6511269083910401E-2</v>
      </c>
      <c r="CG48" s="4">
        <v>0.115027117553313</v>
      </c>
      <c r="CH48" s="4">
        <v>2.23274541554726E-2</v>
      </c>
      <c r="CI48" s="4">
        <v>1.5034322492681799E-2</v>
      </c>
      <c r="CJ48" s="4">
        <v>2.9911007007094901E-2</v>
      </c>
      <c r="CK48" s="4">
        <v>6.9797460609151299E-3</v>
      </c>
      <c r="CL48" s="4">
        <v>9.2329835314354999E-3</v>
      </c>
      <c r="CM48" s="4">
        <v>4.6367819907438797E-3</v>
      </c>
      <c r="CN48" s="4">
        <v>4.70661446916906E-3</v>
      </c>
      <c r="CO48" s="4">
        <v>0</v>
      </c>
      <c r="CP48" s="4">
        <v>9.6006519320133901E-3</v>
      </c>
      <c r="CQ48" s="4">
        <v>3.1176473539079501E-3</v>
      </c>
      <c r="CR48" s="4">
        <v>6.115900689129E-3</v>
      </c>
      <c r="CS48" s="4">
        <v>0</v>
      </c>
      <c r="CT48" s="1">
        <f>Table1[[#This Row],[Female %]]*Table1[[#This Row],[NWS_pin]]</f>
        <v>0</v>
      </c>
      <c r="CU48" s="1">
        <f>Table1[[#This Row],[Male %]]*Table1[[#This Row],[NWS_pin]]</f>
        <v>0</v>
      </c>
      <c r="CV48" s="1">
        <f>Table1[[#This Row],[Female% (0-2)22]]+Table1[[#This Row],[Male%(0-2)3]]</f>
        <v>0</v>
      </c>
      <c r="CW48" s="1">
        <f>$CT48*Table1[[#This Row],[Female% (0-2)]]</f>
        <v>0</v>
      </c>
      <c r="CX48" s="1">
        <f>$CU48*Table1[[#This Row],[Male%(0-2)]]</f>
        <v>0</v>
      </c>
      <c r="CY48" s="1">
        <f>Table1[[#This Row],[Female%  (3-5)5]]+Table1[[#This Row],[Male% (3-5)6]]</f>
        <v>0</v>
      </c>
      <c r="CZ48" s="1">
        <f>$AF48*Table1[[#This Row],[Female%  (3-5)]]</f>
        <v>0</v>
      </c>
      <c r="DA48" s="1">
        <f>$CU48*Table1[[#This Row],[Male% (3-5)]]</f>
        <v>0</v>
      </c>
      <c r="DB48" s="1">
        <f>Table1[[#This Row],[Female% (6-8)8]]+Table1[[#This Row],[Male%(6-8)9]]</f>
        <v>0</v>
      </c>
      <c r="DC48" s="1">
        <f>$CT48*Table1[[#This Row],[Female% (6-8)]]</f>
        <v>0</v>
      </c>
      <c r="DD48" s="1">
        <f>$CU48*Table1[[#This Row],[Male%(6-8)]]</f>
        <v>0</v>
      </c>
      <c r="DE48" s="1">
        <f>Table1[[#This Row],[Female% (9 - 11)11]]+Table1[[#This Row],[Male% (9 - 11)12]]</f>
        <v>0</v>
      </c>
      <c r="DF48" s="1">
        <f>$CT48*Table1[[#This Row],[Female% (9 - 11)]]</f>
        <v>0</v>
      </c>
      <c r="DG48" s="1">
        <f>$CU48*Table1[[#This Row],[Male% (9 - 11)]]</f>
        <v>0</v>
      </c>
      <c r="DH48" s="1">
        <f>Table1[[#This Row],[Female% (12-14)14]]+Table1[[#This Row],[Male%(12-14)15]]</f>
        <v>0</v>
      </c>
      <c r="DI48" s="1">
        <f>$CT48*Table1[[#This Row],[Female% (12-14)]]</f>
        <v>0</v>
      </c>
      <c r="DJ48" s="1">
        <f>$CU48*Table1[[#This Row],[Male%(12-14)]]</f>
        <v>0</v>
      </c>
      <c r="DK48" s="1">
        <f>Table1[[#This Row],[Female% (15-17)17]]+Table1[[#This Row],[Male%(15-17)18]]</f>
        <v>0</v>
      </c>
      <c r="DL48" s="1">
        <f>$CT48*Table1[[#This Row],[Female% (15-17)]]</f>
        <v>0</v>
      </c>
      <c r="DM48" s="1">
        <f>$CU48*Table1[[#This Row],[Male%(15-17)]]</f>
        <v>0</v>
      </c>
      <c r="DN48" s="1">
        <f>$AF48*Table1[[#This Row],[Total% (18-19)]]</f>
        <v>0</v>
      </c>
      <c r="DO48" s="1">
        <f>$CT48*Table1[[#This Row],[Female% (18-19)]]</f>
        <v>0</v>
      </c>
      <c r="DP48" s="1">
        <f>$CU48*Table1[[#This Row],[Male%(18-19)]]</f>
        <v>0</v>
      </c>
      <c r="DQ48" s="1">
        <f>$AF48*Table1[[#This Row],[Total% (20-24)]]</f>
        <v>0</v>
      </c>
      <c r="DR48" s="1">
        <f>$CT48*Table1[[#This Row],[Female% (20-24)]]</f>
        <v>0</v>
      </c>
      <c r="DS48" s="1">
        <f>$CU48*Table1[[#This Row],[Male% (20-24)]]</f>
        <v>0</v>
      </c>
      <c r="DT48" s="1">
        <f>$AF48*Table1[[#This Row],[Total% (25-29)]]</f>
        <v>0</v>
      </c>
      <c r="DU48" s="1">
        <f>$CT48*Table1[[#This Row],[Female% (25-29)]]</f>
        <v>0</v>
      </c>
      <c r="DV48" s="1">
        <f>$CU48*Table1[[#This Row],[Male% (25-29)]]</f>
        <v>0</v>
      </c>
      <c r="DW48" s="1">
        <f>$AF48*Table1[[#This Row],[Total%   (30-34)]]</f>
        <v>0</v>
      </c>
      <c r="DX48" s="1">
        <f>$CT48*Table1[[#This Row],[Female%   (30-34)]]</f>
        <v>0</v>
      </c>
      <c r="DY48" s="1">
        <f>$CU48*Table1[[#This Row],[Male%  (30-34)]]</f>
        <v>0</v>
      </c>
      <c r="DZ48" s="1">
        <f>$AF48*Table1[[#This Row],[Total% (35-39)]]</f>
        <v>0</v>
      </c>
      <c r="EA48" s="1">
        <f>$CT48*Table1[[#This Row],[Female% (35-39)]]</f>
        <v>0</v>
      </c>
      <c r="EB48" s="1">
        <f>$CU48*Table1[[#This Row],[Male% (35-39)]]</f>
        <v>0</v>
      </c>
      <c r="EC48" s="1">
        <f>$AF48*Table1[[#This Row],[Total% (40-44)]]</f>
        <v>0</v>
      </c>
      <c r="ED48" s="1">
        <f>$CT48*Table1[[#This Row],[Female% (40-44)]]</f>
        <v>0</v>
      </c>
      <c r="EE48" s="1">
        <f>$CU48*Table1[[#This Row],[Male%(55-59)]]</f>
        <v>0</v>
      </c>
      <c r="EF48" s="1">
        <f>$AF48*Table1[[#This Row],[Total% (45-49)]]</f>
        <v>0</v>
      </c>
      <c r="EG48" s="1">
        <f>$CT48*Table1[[#This Row],[Female% (45-49)]]</f>
        <v>0</v>
      </c>
      <c r="EH48" s="1">
        <f>$CU48*Table1[[#This Row],[Male% (45-49)]]</f>
        <v>0</v>
      </c>
      <c r="EI48" s="1">
        <f>$AF48*Table1[[#This Row],[Total% (50-54)]]</f>
        <v>0</v>
      </c>
      <c r="EJ48" s="1">
        <f>$CT48*Table1[[#This Row],[Female%(50-54)]]</f>
        <v>0</v>
      </c>
      <c r="EK48" s="1">
        <f>$CU48*Table1[[#This Row],[Male% (50-54)]]</f>
        <v>0</v>
      </c>
      <c r="EL48" s="1">
        <f>$AF48*Table1[[#This Row],[Total% (55-59)]]</f>
        <v>0</v>
      </c>
      <c r="EM48" s="1">
        <f>$CT48*Table1[[#This Row],[Female% (55-59)]]</f>
        <v>0</v>
      </c>
      <c r="EN48" s="1">
        <f>$CU48*Table1[[#This Row],[Male% (55-59)]]</f>
        <v>0</v>
      </c>
      <c r="EO48" s="1">
        <f>$AF48*Table1[[#This Row],[Total% (60-64)]]</f>
        <v>0</v>
      </c>
      <c r="EP48" s="1">
        <f>$CT48*Table1[[#This Row],[Female%(60-64)]]</f>
        <v>0</v>
      </c>
      <c r="EQ48" s="1">
        <f>$CU48*Table1[[#This Row],[Male%(60-64)]]</f>
        <v>0</v>
      </c>
      <c r="ER48" s="1">
        <f>$AF48*Table1[[#This Row],[Total% (&gt;=65)]]</f>
        <v>0</v>
      </c>
      <c r="ES48" s="1">
        <f>$CT48*Table1[[#This Row],[Female%(&gt;=65)]]</f>
        <v>0</v>
      </c>
      <c r="ET48" s="1">
        <f>$CU48*Table1[[#This Row],[Male% (&gt;=65)]]</f>
        <v>0</v>
      </c>
    </row>
    <row r="49" spans="1:150" hidden="1" x14ac:dyDescent="0.35">
      <c r="A49" t="s">
        <v>104</v>
      </c>
      <c r="B49" t="s">
        <v>105</v>
      </c>
      <c r="C49" t="s">
        <v>104</v>
      </c>
      <c r="D49" t="s">
        <v>141</v>
      </c>
      <c r="E49" t="s">
        <v>484</v>
      </c>
      <c r="F49" t="s">
        <v>485</v>
      </c>
      <c r="H49">
        <v>3</v>
      </c>
      <c r="I49" s="1">
        <v>0</v>
      </c>
      <c r="J49" s="1">
        <v>1978</v>
      </c>
      <c r="K49" s="1">
        <v>14724</v>
      </c>
      <c r="L49" s="1">
        <v>4175</v>
      </c>
      <c r="M49" s="1">
        <v>1099</v>
      </c>
      <c r="N49" s="1">
        <v>19998</v>
      </c>
      <c r="O49" s="3">
        <v>1</v>
      </c>
      <c r="P49" s="3">
        <v>0</v>
      </c>
      <c r="Q49" s="3">
        <v>0</v>
      </c>
      <c r="R49" s="3">
        <v>0</v>
      </c>
      <c r="S49" s="3">
        <v>0</v>
      </c>
      <c r="T49" s="1">
        <v>21976</v>
      </c>
      <c r="U49" s="1">
        <v>0</v>
      </c>
      <c r="V49" s="10">
        <f>Table1[[#This Row],[Pop NW+RATAA]]*Table1[[#This Row],[Perc_pop_Northern_Aleppo]]</f>
        <v>0</v>
      </c>
      <c r="W49" s="10">
        <f>Table1[[#This Row],[Pop NW+RATAA]]*Table1[[#This Row],[Perc_pop_Afrin District]]</f>
        <v>0</v>
      </c>
      <c r="X49" s="10">
        <f>Table1[[#This Row],[Pop NW+RATAA]]*Table1[[#This Row],[Perc_pop_Euphrates Shiled]]</f>
        <v>0</v>
      </c>
      <c r="Y49" s="10">
        <f>Table1[[#This Row],[Pop NW+RATAA]]*Table1[[#This Row],[Perc_Pop_Idleb_NSAG]]</f>
        <v>0</v>
      </c>
      <c r="Z49" s="3">
        <v>0</v>
      </c>
      <c r="AA49" s="3">
        <v>0</v>
      </c>
      <c r="AB49" s="3">
        <v>0</v>
      </c>
      <c r="AC49" s="3">
        <v>0</v>
      </c>
      <c r="AD49" s="1">
        <v>19998</v>
      </c>
      <c r="AE49" s="1">
        <v>0</v>
      </c>
      <c r="AF49" s="1">
        <v>0</v>
      </c>
      <c r="AG49" s="1">
        <v>0</v>
      </c>
      <c r="AH49" s="1">
        <v>0</v>
      </c>
      <c r="AI49" s="1">
        <f>Table1[[#This Row],[NWS_pin]]*Table1[[#This Row],[Perc_pop_Northern_Aleppo]]</f>
        <v>0</v>
      </c>
      <c r="AJ49" s="1">
        <f>Table1[[#This Row],[NWS_pin]]*Table1[[#This Row],[Perc_pop_Afrin District]]</f>
        <v>0</v>
      </c>
      <c r="AK49" s="1">
        <f>Table1[[#This Row],[NWS_pin]]*Table1[[#This Row],[Perc_pop_Euphrates Shiled]]</f>
        <v>0</v>
      </c>
      <c r="AL49" s="1">
        <f>Table1[[#This Row],[NWS_pin]]*Table1[[#This Row],[Perc_Pop_Idleb_NSAG]]</f>
        <v>0</v>
      </c>
      <c r="AM49" s="4">
        <v>0.55006252956312596</v>
      </c>
      <c r="AN49" s="4">
        <v>0.44993747043687399</v>
      </c>
      <c r="AO49" s="4">
        <v>0.19337967183227001</v>
      </c>
      <c r="AP49" s="4">
        <v>0.39994621329833802</v>
      </c>
      <c r="AQ49" s="4">
        <v>0.55816167920300197</v>
      </c>
      <c r="AR49" s="4">
        <v>2.5783895899303001E-2</v>
      </c>
      <c r="AS49" s="4">
        <v>0</v>
      </c>
      <c r="AT49" s="4">
        <v>1.61082115993566E-2</v>
      </c>
      <c r="AU49" s="4">
        <v>2.50428443302903E-2</v>
      </c>
      <c r="AV49" s="4">
        <v>3.5456878254264697E-2</v>
      </c>
      <c r="AW49" s="4">
        <v>1.23113644701765E-2</v>
      </c>
      <c r="AX49" s="4">
        <v>6.3910890031470394E-2</v>
      </c>
      <c r="AY49" s="4">
        <v>4.0449970582142301E-2</v>
      </c>
      <c r="AZ49" s="4">
        <v>9.2592592592592601E-2</v>
      </c>
      <c r="BA49" s="4">
        <v>8.3229117394789401E-2</v>
      </c>
      <c r="BB49" s="4">
        <v>8.0647325184724006E-2</v>
      </c>
      <c r="BC49" s="4">
        <v>8.6385438544250598E-2</v>
      </c>
      <c r="BD49" s="4">
        <v>8.0621558983300007E-2</v>
      </c>
      <c r="BE49" s="4">
        <v>9.0970331146560196E-2</v>
      </c>
      <c r="BF49" s="4">
        <v>6.7969863652239601E-2</v>
      </c>
      <c r="BG49" s="4">
        <v>6.9311279634082804E-2</v>
      </c>
      <c r="BH49" s="4">
        <v>6.5499637548050701E-2</v>
      </c>
      <c r="BI49" s="4">
        <v>7.3971130447566494E-2</v>
      </c>
      <c r="BJ49" s="4">
        <v>6.3910890031470394E-2</v>
      </c>
      <c r="BK49" s="4">
        <v>7.5822643509886795E-2</v>
      </c>
      <c r="BL49" s="4">
        <v>4.93484015072135E-2</v>
      </c>
      <c r="BM49" s="4">
        <v>4.7153902884732299E-2</v>
      </c>
      <c r="BN49" s="4">
        <v>6.0506545220173097E-2</v>
      </c>
      <c r="BO49" s="4">
        <v>3.0829882988695E-2</v>
      </c>
      <c r="BP49" s="4">
        <v>6.6796357612410207E-2</v>
      </c>
      <c r="BQ49" s="4">
        <v>9.6131834127478194E-2</v>
      </c>
      <c r="BR49" s="4">
        <v>3.0932826615202601E-2</v>
      </c>
      <c r="BS49" s="4">
        <v>7.2196747215022603E-2</v>
      </c>
      <c r="BT49" s="4">
        <v>9.5795012821397393E-2</v>
      </c>
      <c r="BU49" s="4">
        <v>4.3347134711886601E-2</v>
      </c>
      <c r="BV49" s="4">
        <v>0.12777546186803199</v>
      </c>
      <c r="BW49" s="4">
        <v>0.126427209400825</v>
      </c>
      <c r="BX49" s="4">
        <v>0.129423742376615</v>
      </c>
      <c r="BY49" s="4">
        <v>7.5082214795962401E-2</v>
      </c>
      <c r="BZ49" s="4">
        <v>4.5443062910020003E-2</v>
      </c>
      <c r="CA49" s="4">
        <v>0.11131699836412599</v>
      </c>
      <c r="CB49" s="4">
        <v>9.1607610968158504E-2</v>
      </c>
      <c r="CC49" s="4">
        <v>9.0801920493519706E-2</v>
      </c>
      <c r="CD49" s="4">
        <v>9.2592592592592601E-2</v>
      </c>
      <c r="CE49" s="4">
        <v>7.2196747215022603E-2</v>
      </c>
      <c r="CF49" s="4">
        <v>5.0520360564417797E-2</v>
      </c>
      <c r="CG49" s="4">
        <v>9.8696803014427098E-2</v>
      </c>
      <c r="CH49" s="4">
        <v>2.2250013139167302E-2</v>
      </c>
      <c r="CI49" s="4">
        <v>5.0772976543978499E-3</v>
      </c>
      <c r="CJ49" s="4">
        <v>4.3244191085379101E-2</v>
      </c>
      <c r="CK49" s="4">
        <v>1.9410863753135901E-2</v>
      </c>
      <c r="CL49" s="4">
        <v>2.0224985291071199E-2</v>
      </c>
      <c r="CM49" s="4">
        <v>1.8415574892011E-2</v>
      </c>
      <c r="CN49" s="4">
        <v>1.3917837760706601E-2</v>
      </c>
      <c r="CO49" s="4">
        <v>1.5147687636673301E-2</v>
      </c>
      <c r="CP49" s="4">
        <v>1.2414308096684E-2</v>
      </c>
      <c r="CQ49" s="4">
        <v>5.5856623822460203E-3</v>
      </c>
      <c r="CR49" s="4">
        <v>5.0772976543978499E-3</v>
      </c>
      <c r="CS49" s="4">
        <v>6.2071540483420199E-3</v>
      </c>
      <c r="CT49" s="1">
        <f>Table1[[#This Row],[Female %]]*Table1[[#This Row],[NWS_pin]]</f>
        <v>0</v>
      </c>
      <c r="CU49" s="1">
        <f>Table1[[#This Row],[Male %]]*Table1[[#This Row],[NWS_pin]]</f>
        <v>0</v>
      </c>
      <c r="CV49" s="1">
        <f>Table1[[#This Row],[Female% (0-2)22]]+Table1[[#This Row],[Male%(0-2)3]]</f>
        <v>0</v>
      </c>
      <c r="CW49" s="1">
        <f>$CT49*Table1[[#This Row],[Female% (0-2)]]</f>
        <v>0</v>
      </c>
      <c r="CX49" s="1">
        <f>$CU49*Table1[[#This Row],[Male%(0-2)]]</f>
        <v>0</v>
      </c>
      <c r="CY49" s="1">
        <f>Table1[[#This Row],[Female%  (3-5)5]]+Table1[[#This Row],[Male% (3-5)6]]</f>
        <v>0</v>
      </c>
      <c r="CZ49" s="1">
        <f>$AF49*Table1[[#This Row],[Female%  (3-5)]]</f>
        <v>0</v>
      </c>
      <c r="DA49" s="1">
        <f>$CU49*Table1[[#This Row],[Male% (3-5)]]</f>
        <v>0</v>
      </c>
      <c r="DB49" s="1">
        <f>Table1[[#This Row],[Female% (6-8)8]]+Table1[[#This Row],[Male%(6-8)9]]</f>
        <v>0</v>
      </c>
      <c r="DC49" s="1">
        <f>$CT49*Table1[[#This Row],[Female% (6-8)]]</f>
        <v>0</v>
      </c>
      <c r="DD49" s="1">
        <f>$CU49*Table1[[#This Row],[Male%(6-8)]]</f>
        <v>0</v>
      </c>
      <c r="DE49" s="1">
        <f>Table1[[#This Row],[Female% (9 - 11)11]]+Table1[[#This Row],[Male% (9 - 11)12]]</f>
        <v>0</v>
      </c>
      <c r="DF49" s="1">
        <f>$CT49*Table1[[#This Row],[Female% (9 - 11)]]</f>
        <v>0</v>
      </c>
      <c r="DG49" s="1">
        <f>$CU49*Table1[[#This Row],[Male% (9 - 11)]]</f>
        <v>0</v>
      </c>
      <c r="DH49" s="1">
        <f>Table1[[#This Row],[Female% (12-14)14]]+Table1[[#This Row],[Male%(12-14)15]]</f>
        <v>0</v>
      </c>
      <c r="DI49" s="1">
        <f>$CT49*Table1[[#This Row],[Female% (12-14)]]</f>
        <v>0</v>
      </c>
      <c r="DJ49" s="1">
        <f>$CU49*Table1[[#This Row],[Male%(12-14)]]</f>
        <v>0</v>
      </c>
      <c r="DK49" s="1">
        <f>Table1[[#This Row],[Female% (15-17)17]]+Table1[[#This Row],[Male%(15-17)18]]</f>
        <v>0</v>
      </c>
      <c r="DL49" s="1">
        <f>$CT49*Table1[[#This Row],[Female% (15-17)]]</f>
        <v>0</v>
      </c>
      <c r="DM49" s="1">
        <f>$CU49*Table1[[#This Row],[Male%(15-17)]]</f>
        <v>0</v>
      </c>
      <c r="DN49" s="1">
        <f>$AF49*Table1[[#This Row],[Total% (18-19)]]</f>
        <v>0</v>
      </c>
      <c r="DO49" s="1">
        <f>$CT49*Table1[[#This Row],[Female% (18-19)]]</f>
        <v>0</v>
      </c>
      <c r="DP49" s="1">
        <f>$CU49*Table1[[#This Row],[Male%(18-19)]]</f>
        <v>0</v>
      </c>
      <c r="DQ49" s="1">
        <f>$AF49*Table1[[#This Row],[Total% (20-24)]]</f>
        <v>0</v>
      </c>
      <c r="DR49" s="1">
        <f>$CT49*Table1[[#This Row],[Female% (20-24)]]</f>
        <v>0</v>
      </c>
      <c r="DS49" s="1">
        <f>$CU49*Table1[[#This Row],[Male% (20-24)]]</f>
        <v>0</v>
      </c>
      <c r="DT49" s="1">
        <f>$AF49*Table1[[#This Row],[Total% (25-29)]]</f>
        <v>0</v>
      </c>
      <c r="DU49" s="1">
        <f>$CT49*Table1[[#This Row],[Female% (25-29)]]</f>
        <v>0</v>
      </c>
      <c r="DV49" s="1">
        <f>$CU49*Table1[[#This Row],[Male% (25-29)]]</f>
        <v>0</v>
      </c>
      <c r="DW49" s="1">
        <f>$AF49*Table1[[#This Row],[Total%   (30-34)]]</f>
        <v>0</v>
      </c>
      <c r="DX49" s="1">
        <f>$CT49*Table1[[#This Row],[Female%   (30-34)]]</f>
        <v>0</v>
      </c>
      <c r="DY49" s="1">
        <f>$CU49*Table1[[#This Row],[Male%  (30-34)]]</f>
        <v>0</v>
      </c>
      <c r="DZ49" s="1">
        <f>$AF49*Table1[[#This Row],[Total% (35-39)]]</f>
        <v>0</v>
      </c>
      <c r="EA49" s="1">
        <f>$CT49*Table1[[#This Row],[Female% (35-39)]]</f>
        <v>0</v>
      </c>
      <c r="EB49" s="1">
        <f>$CU49*Table1[[#This Row],[Male% (35-39)]]</f>
        <v>0</v>
      </c>
      <c r="EC49" s="1">
        <f>$AF49*Table1[[#This Row],[Total% (40-44)]]</f>
        <v>0</v>
      </c>
      <c r="ED49" s="1">
        <f>$CT49*Table1[[#This Row],[Female% (40-44)]]</f>
        <v>0</v>
      </c>
      <c r="EE49" s="1">
        <f>$CU49*Table1[[#This Row],[Male%(55-59)]]</f>
        <v>0</v>
      </c>
      <c r="EF49" s="1">
        <f>$AF49*Table1[[#This Row],[Total% (45-49)]]</f>
        <v>0</v>
      </c>
      <c r="EG49" s="1">
        <f>$CT49*Table1[[#This Row],[Female% (45-49)]]</f>
        <v>0</v>
      </c>
      <c r="EH49" s="1">
        <f>$CU49*Table1[[#This Row],[Male% (45-49)]]</f>
        <v>0</v>
      </c>
      <c r="EI49" s="1">
        <f>$AF49*Table1[[#This Row],[Total% (50-54)]]</f>
        <v>0</v>
      </c>
      <c r="EJ49" s="1">
        <f>$CT49*Table1[[#This Row],[Female%(50-54)]]</f>
        <v>0</v>
      </c>
      <c r="EK49" s="1">
        <f>$CU49*Table1[[#This Row],[Male% (50-54)]]</f>
        <v>0</v>
      </c>
      <c r="EL49" s="1">
        <f>$AF49*Table1[[#This Row],[Total% (55-59)]]</f>
        <v>0</v>
      </c>
      <c r="EM49" s="1">
        <f>$CT49*Table1[[#This Row],[Female% (55-59)]]</f>
        <v>0</v>
      </c>
      <c r="EN49" s="1">
        <f>$CU49*Table1[[#This Row],[Male% (55-59)]]</f>
        <v>0</v>
      </c>
      <c r="EO49" s="1">
        <f>$AF49*Table1[[#This Row],[Total% (60-64)]]</f>
        <v>0</v>
      </c>
      <c r="EP49" s="1">
        <f>$CT49*Table1[[#This Row],[Female%(60-64)]]</f>
        <v>0</v>
      </c>
      <c r="EQ49" s="1">
        <f>$CU49*Table1[[#This Row],[Male%(60-64)]]</f>
        <v>0</v>
      </c>
      <c r="ER49" s="1">
        <f>$AF49*Table1[[#This Row],[Total% (&gt;=65)]]</f>
        <v>0</v>
      </c>
      <c r="ES49" s="1">
        <f>$CT49*Table1[[#This Row],[Female%(&gt;=65)]]</f>
        <v>0</v>
      </c>
      <c r="ET49" s="1">
        <f>$CU49*Table1[[#This Row],[Male% (&gt;=65)]]</f>
        <v>0</v>
      </c>
    </row>
    <row r="50" spans="1:150" hidden="1" x14ac:dyDescent="0.35">
      <c r="A50" t="s">
        <v>104</v>
      </c>
      <c r="B50" t="s">
        <v>105</v>
      </c>
      <c r="C50" t="s">
        <v>104</v>
      </c>
      <c r="D50" t="s">
        <v>141</v>
      </c>
      <c r="E50" t="s">
        <v>307</v>
      </c>
      <c r="F50" t="s">
        <v>308</v>
      </c>
      <c r="H50">
        <v>3</v>
      </c>
      <c r="I50" s="1">
        <v>0</v>
      </c>
      <c r="J50" s="1">
        <v>22575</v>
      </c>
      <c r="K50" s="1">
        <v>294638</v>
      </c>
      <c r="L50" s="1">
        <v>26025</v>
      </c>
      <c r="M50" s="1">
        <v>0</v>
      </c>
      <c r="N50" s="1">
        <v>320663</v>
      </c>
      <c r="O50" s="3">
        <v>1</v>
      </c>
      <c r="P50" s="3">
        <v>0</v>
      </c>
      <c r="Q50" s="3">
        <v>0</v>
      </c>
      <c r="R50" s="3">
        <v>0</v>
      </c>
      <c r="S50" s="3">
        <v>0</v>
      </c>
      <c r="T50" s="1">
        <v>343238</v>
      </c>
      <c r="U50" s="1">
        <v>0</v>
      </c>
      <c r="V50" s="10">
        <f>Table1[[#This Row],[Pop NW+RATAA]]*Table1[[#This Row],[Perc_pop_Northern_Aleppo]]</f>
        <v>0</v>
      </c>
      <c r="W50" s="10">
        <f>Table1[[#This Row],[Pop NW+RATAA]]*Table1[[#This Row],[Perc_pop_Afrin District]]</f>
        <v>0</v>
      </c>
      <c r="X50" s="10">
        <f>Table1[[#This Row],[Pop NW+RATAA]]*Table1[[#This Row],[Perc_pop_Euphrates Shiled]]</f>
        <v>0</v>
      </c>
      <c r="Y50" s="10">
        <f>Table1[[#This Row],[Pop NW+RATAA]]*Table1[[#This Row],[Perc_Pop_Idleb_NSAG]]</f>
        <v>0</v>
      </c>
      <c r="Z50" s="3">
        <v>0</v>
      </c>
      <c r="AA50" s="3">
        <v>0</v>
      </c>
      <c r="AB50" s="3">
        <v>0</v>
      </c>
      <c r="AC50" s="3">
        <v>0</v>
      </c>
      <c r="AD50" s="1">
        <v>320663</v>
      </c>
      <c r="AE50" s="1">
        <v>0</v>
      </c>
      <c r="AF50" s="1">
        <v>0</v>
      </c>
      <c r="AG50" s="1">
        <v>0</v>
      </c>
      <c r="AH50" s="1">
        <v>0</v>
      </c>
      <c r="AI50" s="1">
        <f>Table1[[#This Row],[NWS_pin]]*Table1[[#This Row],[Perc_pop_Northern_Aleppo]]</f>
        <v>0</v>
      </c>
      <c r="AJ50" s="1">
        <f>Table1[[#This Row],[NWS_pin]]*Table1[[#This Row],[Perc_pop_Afrin District]]</f>
        <v>0</v>
      </c>
      <c r="AK50" s="1">
        <f>Table1[[#This Row],[NWS_pin]]*Table1[[#This Row],[Perc_pop_Euphrates Shiled]]</f>
        <v>0</v>
      </c>
      <c r="AL50" s="1">
        <f>Table1[[#This Row],[NWS_pin]]*Table1[[#This Row],[Perc_Pop_Idleb_NSAG]]</f>
        <v>0</v>
      </c>
      <c r="AM50" s="4">
        <v>0.413460595046093</v>
      </c>
      <c r="AN50" s="4">
        <v>0.586539404953907</v>
      </c>
      <c r="AO50" s="4">
        <v>0.50643086113944302</v>
      </c>
      <c r="AP50" s="4">
        <v>0.40414962670917898</v>
      </c>
      <c r="AQ50" s="4">
        <v>0.57427513700278399</v>
      </c>
      <c r="AR50" s="4">
        <v>5.03996726670735E-3</v>
      </c>
      <c r="AS50" s="4">
        <v>0</v>
      </c>
      <c r="AT50" s="4">
        <v>1.6535269021329398E-2</v>
      </c>
      <c r="AU50" s="4">
        <v>9.8284699985564192E-3</v>
      </c>
      <c r="AV50" s="4">
        <v>8.1859952956700507E-3</v>
      </c>
      <c r="AW50" s="4">
        <v>1.0986275530917701E-2</v>
      </c>
      <c r="AX50" s="4">
        <v>1.8957677335379699E-2</v>
      </c>
      <c r="AY50" s="4">
        <v>1.1628515719090401E-2</v>
      </c>
      <c r="AZ50" s="4">
        <v>2.4124115425414101E-2</v>
      </c>
      <c r="BA50" s="4">
        <v>9.5053527138351496E-2</v>
      </c>
      <c r="BB50" s="4">
        <v>5.7320633818764198E-2</v>
      </c>
      <c r="BC50" s="4">
        <v>0.12165202059499</v>
      </c>
      <c r="BD50" s="4">
        <v>7.4637131424975398E-2</v>
      </c>
      <c r="BE50" s="4">
        <v>4.3356976526451999E-2</v>
      </c>
      <c r="BF50" s="4">
        <v>9.6686990902862993E-2</v>
      </c>
      <c r="BG50" s="4">
        <v>0.11318807585499401</v>
      </c>
      <c r="BH50" s="4">
        <v>9.3942880501227996E-2</v>
      </c>
      <c r="BI50" s="4">
        <v>0.12675430832896001</v>
      </c>
      <c r="BJ50" s="4">
        <v>8.4112200153973402E-2</v>
      </c>
      <c r="BK50" s="4">
        <v>7.6289336093416801E-2</v>
      </c>
      <c r="BL50" s="4">
        <v>8.9626656645940203E-2</v>
      </c>
      <c r="BM50" s="4">
        <v>3.3336744738476302E-2</v>
      </c>
      <c r="BN50" s="4">
        <v>3.1712920190971702E-2</v>
      </c>
      <c r="BO50" s="4">
        <v>3.4481403491138402E-2</v>
      </c>
      <c r="BP50" s="4">
        <v>2.7238159190495399E-2</v>
      </c>
      <c r="BQ50" s="4">
        <v>2.7743362011806199E-2</v>
      </c>
      <c r="BR50" s="4">
        <v>2.6882033996938101E-2</v>
      </c>
      <c r="BS50" s="4">
        <v>6.7720751204927307E-2</v>
      </c>
      <c r="BT50" s="4">
        <v>0.112110479384013</v>
      </c>
      <c r="BU50" s="4">
        <v>3.6429753069343797E-2</v>
      </c>
      <c r="BV50" s="4">
        <v>0.123201257646832</v>
      </c>
      <c r="BW50" s="4">
        <v>0.16066147508826401</v>
      </c>
      <c r="BX50" s="4">
        <v>9.6794977586061301E-2</v>
      </c>
      <c r="BY50" s="4">
        <v>0.14928907330122199</v>
      </c>
      <c r="BZ50" s="4">
        <v>0.180156901454844</v>
      </c>
      <c r="CA50" s="4">
        <v>0.12752986925050599</v>
      </c>
      <c r="CB50" s="4">
        <v>9.9044644667622694E-2</v>
      </c>
      <c r="CC50" s="4">
        <v>0.101535101186529</v>
      </c>
      <c r="CD50" s="4">
        <v>9.7289083787063593E-2</v>
      </c>
      <c r="CE50" s="4">
        <v>5.6670211104013803E-2</v>
      </c>
      <c r="CF50" s="4">
        <v>5.2619896767174698E-2</v>
      </c>
      <c r="CG50" s="4">
        <v>5.9525339611474902E-2</v>
      </c>
      <c r="CH50" s="4">
        <v>1.3953209841683399E-2</v>
      </c>
      <c r="CI50" s="4">
        <v>9.8352141323673203E-3</v>
      </c>
      <c r="CJ50" s="4">
        <v>1.68560479834871E-2</v>
      </c>
      <c r="CK50" s="4">
        <v>1.8171488593238701E-2</v>
      </c>
      <c r="CL50" s="4">
        <v>2.5756475821749201E-2</v>
      </c>
      <c r="CM50" s="4">
        <v>1.2824715117442299E-2</v>
      </c>
      <c r="CN50" s="4">
        <v>1.3633199723616001E-2</v>
      </c>
      <c r="CO50" s="4">
        <v>7.1438360076598404E-3</v>
      </c>
      <c r="CP50" s="4">
        <v>1.82076514327566E-2</v>
      </c>
      <c r="CQ50" s="4">
        <v>1.9641780816429702E-3</v>
      </c>
      <c r="CR50" s="4">
        <v>0</v>
      </c>
      <c r="CS50" s="4">
        <v>3.3487572447026301E-3</v>
      </c>
      <c r="CT50" s="1">
        <f>Table1[[#This Row],[Female %]]*Table1[[#This Row],[NWS_pin]]</f>
        <v>0</v>
      </c>
      <c r="CU50" s="1">
        <f>Table1[[#This Row],[Male %]]*Table1[[#This Row],[NWS_pin]]</f>
        <v>0</v>
      </c>
      <c r="CV50" s="1">
        <f>Table1[[#This Row],[Female% (0-2)22]]+Table1[[#This Row],[Male%(0-2)3]]</f>
        <v>0</v>
      </c>
      <c r="CW50" s="1">
        <f>$CT50*Table1[[#This Row],[Female% (0-2)]]</f>
        <v>0</v>
      </c>
      <c r="CX50" s="1">
        <f>$CU50*Table1[[#This Row],[Male%(0-2)]]</f>
        <v>0</v>
      </c>
      <c r="CY50" s="1">
        <f>Table1[[#This Row],[Female%  (3-5)5]]+Table1[[#This Row],[Male% (3-5)6]]</f>
        <v>0</v>
      </c>
      <c r="CZ50" s="1">
        <f>$AF50*Table1[[#This Row],[Female%  (3-5)]]</f>
        <v>0</v>
      </c>
      <c r="DA50" s="1">
        <f>$CU50*Table1[[#This Row],[Male% (3-5)]]</f>
        <v>0</v>
      </c>
      <c r="DB50" s="1">
        <f>Table1[[#This Row],[Female% (6-8)8]]+Table1[[#This Row],[Male%(6-8)9]]</f>
        <v>0</v>
      </c>
      <c r="DC50" s="1">
        <f>$CT50*Table1[[#This Row],[Female% (6-8)]]</f>
        <v>0</v>
      </c>
      <c r="DD50" s="1">
        <f>$CU50*Table1[[#This Row],[Male%(6-8)]]</f>
        <v>0</v>
      </c>
      <c r="DE50" s="1">
        <f>Table1[[#This Row],[Female% (9 - 11)11]]+Table1[[#This Row],[Male% (9 - 11)12]]</f>
        <v>0</v>
      </c>
      <c r="DF50" s="1">
        <f>$CT50*Table1[[#This Row],[Female% (9 - 11)]]</f>
        <v>0</v>
      </c>
      <c r="DG50" s="1">
        <f>$CU50*Table1[[#This Row],[Male% (9 - 11)]]</f>
        <v>0</v>
      </c>
      <c r="DH50" s="1">
        <f>Table1[[#This Row],[Female% (12-14)14]]+Table1[[#This Row],[Male%(12-14)15]]</f>
        <v>0</v>
      </c>
      <c r="DI50" s="1">
        <f>$CT50*Table1[[#This Row],[Female% (12-14)]]</f>
        <v>0</v>
      </c>
      <c r="DJ50" s="1">
        <f>$CU50*Table1[[#This Row],[Male%(12-14)]]</f>
        <v>0</v>
      </c>
      <c r="DK50" s="1">
        <f>Table1[[#This Row],[Female% (15-17)17]]+Table1[[#This Row],[Male%(15-17)18]]</f>
        <v>0</v>
      </c>
      <c r="DL50" s="1">
        <f>$CT50*Table1[[#This Row],[Female% (15-17)]]</f>
        <v>0</v>
      </c>
      <c r="DM50" s="1">
        <f>$CU50*Table1[[#This Row],[Male%(15-17)]]</f>
        <v>0</v>
      </c>
      <c r="DN50" s="1">
        <f>$AF50*Table1[[#This Row],[Total% (18-19)]]</f>
        <v>0</v>
      </c>
      <c r="DO50" s="1">
        <f>$CT50*Table1[[#This Row],[Female% (18-19)]]</f>
        <v>0</v>
      </c>
      <c r="DP50" s="1">
        <f>$CU50*Table1[[#This Row],[Male%(18-19)]]</f>
        <v>0</v>
      </c>
      <c r="DQ50" s="1">
        <f>$AF50*Table1[[#This Row],[Total% (20-24)]]</f>
        <v>0</v>
      </c>
      <c r="DR50" s="1">
        <f>$CT50*Table1[[#This Row],[Female% (20-24)]]</f>
        <v>0</v>
      </c>
      <c r="DS50" s="1">
        <f>$CU50*Table1[[#This Row],[Male% (20-24)]]</f>
        <v>0</v>
      </c>
      <c r="DT50" s="1">
        <f>$AF50*Table1[[#This Row],[Total% (25-29)]]</f>
        <v>0</v>
      </c>
      <c r="DU50" s="1">
        <f>$CT50*Table1[[#This Row],[Female% (25-29)]]</f>
        <v>0</v>
      </c>
      <c r="DV50" s="1">
        <f>$CU50*Table1[[#This Row],[Male% (25-29)]]</f>
        <v>0</v>
      </c>
      <c r="DW50" s="1">
        <f>$AF50*Table1[[#This Row],[Total%   (30-34)]]</f>
        <v>0</v>
      </c>
      <c r="DX50" s="1">
        <f>$CT50*Table1[[#This Row],[Female%   (30-34)]]</f>
        <v>0</v>
      </c>
      <c r="DY50" s="1">
        <f>$CU50*Table1[[#This Row],[Male%  (30-34)]]</f>
        <v>0</v>
      </c>
      <c r="DZ50" s="1">
        <f>$AF50*Table1[[#This Row],[Total% (35-39)]]</f>
        <v>0</v>
      </c>
      <c r="EA50" s="1">
        <f>$CT50*Table1[[#This Row],[Female% (35-39)]]</f>
        <v>0</v>
      </c>
      <c r="EB50" s="1">
        <f>$CU50*Table1[[#This Row],[Male% (35-39)]]</f>
        <v>0</v>
      </c>
      <c r="EC50" s="1">
        <f>$AF50*Table1[[#This Row],[Total% (40-44)]]</f>
        <v>0</v>
      </c>
      <c r="ED50" s="1">
        <f>$CT50*Table1[[#This Row],[Female% (40-44)]]</f>
        <v>0</v>
      </c>
      <c r="EE50" s="1">
        <f>$CU50*Table1[[#This Row],[Male%(55-59)]]</f>
        <v>0</v>
      </c>
      <c r="EF50" s="1">
        <f>$AF50*Table1[[#This Row],[Total% (45-49)]]</f>
        <v>0</v>
      </c>
      <c r="EG50" s="1">
        <f>$CT50*Table1[[#This Row],[Female% (45-49)]]</f>
        <v>0</v>
      </c>
      <c r="EH50" s="1">
        <f>$CU50*Table1[[#This Row],[Male% (45-49)]]</f>
        <v>0</v>
      </c>
      <c r="EI50" s="1">
        <f>$AF50*Table1[[#This Row],[Total% (50-54)]]</f>
        <v>0</v>
      </c>
      <c r="EJ50" s="1">
        <f>$CT50*Table1[[#This Row],[Female%(50-54)]]</f>
        <v>0</v>
      </c>
      <c r="EK50" s="1">
        <f>$CU50*Table1[[#This Row],[Male% (50-54)]]</f>
        <v>0</v>
      </c>
      <c r="EL50" s="1">
        <f>$AF50*Table1[[#This Row],[Total% (55-59)]]</f>
        <v>0</v>
      </c>
      <c r="EM50" s="1">
        <f>$CT50*Table1[[#This Row],[Female% (55-59)]]</f>
        <v>0</v>
      </c>
      <c r="EN50" s="1">
        <f>$CU50*Table1[[#This Row],[Male% (55-59)]]</f>
        <v>0</v>
      </c>
      <c r="EO50" s="1">
        <f>$AF50*Table1[[#This Row],[Total% (60-64)]]</f>
        <v>0</v>
      </c>
      <c r="EP50" s="1">
        <f>$CT50*Table1[[#This Row],[Female%(60-64)]]</f>
        <v>0</v>
      </c>
      <c r="EQ50" s="1">
        <f>$CU50*Table1[[#This Row],[Male%(60-64)]]</f>
        <v>0</v>
      </c>
      <c r="ER50" s="1">
        <f>$AF50*Table1[[#This Row],[Total% (&gt;=65)]]</f>
        <v>0</v>
      </c>
      <c r="ES50" s="1">
        <f>$CT50*Table1[[#This Row],[Female%(&gt;=65)]]</f>
        <v>0</v>
      </c>
      <c r="ET50" s="1">
        <f>$CU50*Table1[[#This Row],[Male% (&gt;=65)]]</f>
        <v>0</v>
      </c>
    </row>
    <row r="51" spans="1:150" hidden="1" x14ac:dyDescent="0.35">
      <c r="A51" t="s">
        <v>104</v>
      </c>
      <c r="B51" t="s">
        <v>105</v>
      </c>
      <c r="C51" t="s">
        <v>153</v>
      </c>
      <c r="D51" t="s">
        <v>154</v>
      </c>
      <c r="E51" t="s">
        <v>153</v>
      </c>
      <c r="F51" t="s">
        <v>155</v>
      </c>
      <c r="H51">
        <v>3</v>
      </c>
      <c r="I51" s="1">
        <v>0</v>
      </c>
      <c r="J51" s="1">
        <v>127710</v>
      </c>
      <c r="K51" s="1">
        <v>49120</v>
      </c>
      <c r="L51" s="1">
        <v>19648</v>
      </c>
      <c r="M51" s="1">
        <v>0</v>
      </c>
      <c r="N51" s="1">
        <v>68768</v>
      </c>
      <c r="O51" s="3">
        <v>1</v>
      </c>
      <c r="P51" s="3">
        <v>0</v>
      </c>
      <c r="Q51" s="3">
        <v>0</v>
      </c>
      <c r="R51" s="3">
        <v>0</v>
      </c>
      <c r="S51" s="3">
        <v>0</v>
      </c>
      <c r="T51" s="1">
        <v>196478</v>
      </c>
      <c r="U51" s="1">
        <v>0</v>
      </c>
      <c r="V51" s="10">
        <f>Table1[[#This Row],[Pop NW+RATAA]]*Table1[[#This Row],[Perc_pop_Northern_Aleppo]]</f>
        <v>0</v>
      </c>
      <c r="W51" s="10">
        <f>Table1[[#This Row],[Pop NW+RATAA]]*Table1[[#This Row],[Perc_pop_Afrin District]]</f>
        <v>0</v>
      </c>
      <c r="X51" s="10">
        <f>Table1[[#This Row],[Pop NW+RATAA]]*Table1[[#This Row],[Perc_pop_Euphrates Shiled]]</f>
        <v>0</v>
      </c>
      <c r="Y51" s="10">
        <f>Table1[[#This Row],[Pop NW+RATAA]]*Table1[[#This Row],[Perc_Pop_Idleb_NSAG]]</f>
        <v>0</v>
      </c>
      <c r="Z51" s="3">
        <v>0</v>
      </c>
      <c r="AA51" s="3">
        <v>0</v>
      </c>
      <c r="AB51" s="3">
        <v>0</v>
      </c>
      <c r="AC51" s="3">
        <v>0</v>
      </c>
      <c r="AD51" s="1">
        <v>68768</v>
      </c>
      <c r="AE51" s="1">
        <v>0</v>
      </c>
      <c r="AF51" s="1">
        <v>0</v>
      </c>
      <c r="AG51" s="1">
        <v>0</v>
      </c>
      <c r="AH51" s="1">
        <v>0</v>
      </c>
      <c r="AI51" s="1">
        <f>Table1[[#This Row],[NWS_pin]]*Table1[[#This Row],[Perc_pop_Northern_Aleppo]]</f>
        <v>0</v>
      </c>
      <c r="AJ51" s="1">
        <f>Table1[[#This Row],[NWS_pin]]*Table1[[#This Row],[Perc_pop_Afrin District]]</f>
        <v>0</v>
      </c>
      <c r="AK51" s="1">
        <f>Table1[[#This Row],[NWS_pin]]*Table1[[#This Row],[Perc_pop_Euphrates Shiled]]</f>
        <v>0</v>
      </c>
      <c r="AL51" s="1">
        <f>Table1[[#This Row],[NWS_pin]]*Table1[[#This Row],[Perc_Pop_Idleb_NSAG]]</f>
        <v>0</v>
      </c>
      <c r="AM51" s="4">
        <v>0.52852698407100596</v>
      </c>
      <c r="AN51" s="4">
        <v>0.47147301592899399</v>
      </c>
      <c r="AO51" s="4">
        <v>0.21215144796076099</v>
      </c>
      <c r="AP51" s="4">
        <v>0.39028560164451997</v>
      </c>
      <c r="AQ51" s="4">
        <v>0.59378088765674297</v>
      </c>
      <c r="AR51" s="4">
        <v>7.42733704082915E-3</v>
      </c>
      <c r="AS51" s="4">
        <v>0</v>
      </c>
      <c r="AT51" s="4">
        <v>8.5061736579078607E-3</v>
      </c>
      <c r="AU51" s="4">
        <v>1.6600275884176501E-2</v>
      </c>
      <c r="AV51" s="4">
        <v>9.2123749365688908E-3</v>
      </c>
      <c r="AW51" s="4">
        <v>2.4882202684930001E-2</v>
      </c>
      <c r="AX51" s="4">
        <v>4.54262293840055E-2</v>
      </c>
      <c r="AY51" s="4">
        <v>5.36087569016837E-2</v>
      </c>
      <c r="AZ51" s="4">
        <v>3.62535165353709E-2</v>
      </c>
      <c r="BA51" s="4">
        <v>0.110272658065552</v>
      </c>
      <c r="BB51" s="4">
        <v>0.11817780403384</v>
      </c>
      <c r="BC51" s="4">
        <v>0.101410893306804</v>
      </c>
      <c r="BD51" s="4">
        <v>8.3980072827826394E-2</v>
      </c>
      <c r="BE51" s="4">
        <v>6.7277207213348206E-2</v>
      </c>
      <c r="BF51" s="4">
        <v>0.10270418829214201</v>
      </c>
      <c r="BG51" s="4">
        <v>8.7060970274915606E-2</v>
      </c>
      <c r="BH51" s="4">
        <v>7.0310910908636504E-2</v>
      </c>
      <c r="BI51" s="4">
        <v>0.105837990508886</v>
      </c>
      <c r="BJ51" s="4">
        <v>7.6470674829420299E-2</v>
      </c>
      <c r="BK51" s="4">
        <v>0.102145630259102</v>
      </c>
      <c r="BL51" s="4">
        <v>4.7688737579694801E-2</v>
      </c>
      <c r="BM51" s="4">
        <v>2.53660928421637E-2</v>
      </c>
      <c r="BN51" s="4">
        <v>3.55909053039771E-2</v>
      </c>
      <c r="BO51" s="4">
        <v>1.3903953736523599E-2</v>
      </c>
      <c r="BP51" s="4">
        <v>3.18694269788641E-2</v>
      </c>
      <c r="BQ51" s="4">
        <v>4.5588243090742497E-2</v>
      </c>
      <c r="BR51" s="4">
        <v>1.64904672936554E-2</v>
      </c>
      <c r="BS51" s="4">
        <v>6.5358325237199505E-2</v>
      </c>
      <c r="BT51" s="4">
        <v>9.0738548317466097E-2</v>
      </c>
      <c r="BU51" s="4">
        <v>3.6906786535177899E-2</v>
      </c>
      <c r="BV51" s="4">
        <v>0.13524583026633299</v>
      </c>
      <c r="BW51" s="4">
        <v>0.154251003536995</v>
      </c>
      <c r="BX51" s="4">
        <v>0.113940799922873</v>
      </c>
      <c r="BY51" s="4">
        <v>0.13360097201441601</v>
      </c>
      <c r="BZ51" s="4">
        <v>0.119343879939106</v>
      </c>
      <c r="CA51" s="4">
        <v>0.14958334560018299</v>
      </c>
      <c r="CB51" s="4">
        <v>8.9878446859691694E-2</v>
      </c>
      <c r="CC51" s="4">
        <v>8.5875512182560398E-2</v>
      </c>
      <c r="CD51" s="4">
        <v>9.4365785309313596E-2</v>
      </c>
      <c r="CE51" s="4">
        <v>6.5245856185703305E-2</v>
      </c>
      <c r="CF51" s="4">
        <v>2.6641294221899099E-2</v>
      </c>
      <c r="CG51" s="4">
        <v>0.10852203958701299</v>
      </c>
      <c r="CH51" s="4">
        <v>1.3881424004601401E-2</v>
      </c>
      <c r="CI51" s="4">
        <v>5.1215794536214401E-3</v>
      </c>
      <c r="CJ51" s="4">
        <v>2.3701316267868301E-2</v>
      </c>
      <c r="CK51" s="4">
        <v>1.1224818643717001E-2</v>
      </c>
      <c r="CL51" s="4">
        <v>1.6116349700453701E-2</v>
      </c>
      <c r="CM51" s="4">
        <v>5.7413528470317303E-3</v>
      </c>
      <c r="CN51" s="4">
        <v>7.2984543538922898E-3</v>
      </c>
      <c r="CO51" s="4">
        <v>0</v>
      </c>
      <c r="CP51" s="4">
        <v>1.5480110435400801E-2</v>
      </c>
      <c r="CQ51" s="4">
        <v>1.2194713475221399E-3</v>
      </c>
      <c r="CR51" s="4">
        <v>0</v>
      </c>
      <c r="CS51" s="4">
        <v>2.5865135571317599E-3</v>
      </c>
      <c r="CT51" s="1">
        <f>Table1[[#This Row],[Female %]]*Table1[[#This Row],[NWS_pin]]</f>
        <v>0</v>
      </c>
      <c r="CU51" s="1">
        <f>Table1[[#This Row],[Male %]]*Table1[[#This Row],[NWS_pin]]</f>
        <v>0</v>
      </c>
      <c r="CV51" s="1">
        <f>Table1[[#This Row],[Female% (0-2)22]]+Table1[[#This Row],[Male%(0-2)3]]</f>
        <v>0</v>
      </c>
      <c r="CW51" s="1">
        <f>$CT51*Table1[[#This Row],[Female% (0-2)]]</f>
        <v>0</v>
      </c>
      <c r="CX51" s="1">
        <f>$CU51*Table1[[#This Row],[Male%(0-2)]]</f>
        <v>0</v>
      </c>
      <c r="CY51" s="1">
        <f>Table1[[#This Row],[Female%  (3-5)5]]+Table1[[#This Row],[Male% (3-5)6]]</f>
        <v>0</v>
      </c>
      <c r="CZ51" s="1">
        <f>$AF51*Table1[[#This Row],[Female%  (3-5)]]</f>
        <v>0</v>
      </c>
      <c r="DA51" s="1">
        <f>$CU51*Table1[[#This Row],[Male% (3-5)]]</f>
        <v>0</v>
      </c>
      <c r="DB51" s="1">
        <f>Table1[[#This Row],[Female% (6-8)8]]+Table1[[#This Row],[Male%(6-8)9]]</f>
        <v>0</v>
      </c>
      <c r="DC51" s="1">
        <f>$CT51*Table1[[#This Row],[Female% (6-8)]]</f>
        <v>0</v>
      </c>
      <c r="DD51" s="1">
        <f>$CU51*Table1[[#This Row],[Male%(6-8)]]</f>
        <v>0</v>
      </c>
      <c r="DE51" s="1">
        <f>Table1[[#This Row],[Female% (9 - 11)11]]+Table1[[#This Row],[Male% (9 - 11)12]]</f>
        <v>0</v>
      </c>
      <c r="DF51" s="1">
        <f>$CT51*Table1[[#This Row],[Female% (9 - 11)]]</f>
        <v>0</v>
      </c>
      <c r="DG51" s="1">
        <f>$CU51*Table1[[#This Row],[Male% (9 - 11)]]</f>
        <v>0</v>
      </c>
      <c r="DH51" s="1">
        <f>Table1[[#This Row],[Female% (12-14)14]]+Table1[[#This Row],[Male%(12-14)15]]</f>
        <v>0</v>
      </c>
      <c r="DI51" s="1">
        <f>$CT51*Table1[[#This Row],[Female% (12-14)]]</f>
        <v>0</v>
      </c>
      <c r="DJ51" s="1">
        <f>$CU51*Table1[[#This Row],[Male%(12-14)]]</f>
        <v>0</v>
      </c>
      <c r="DK51" s="1">
        <f>Table1[[#This Row],[Female% (15-17)17]]+Table1[[#This Row],[Male%(15-17)18]]</f>
        <v>0</v>
      </c>
      <c r="DL51" s="1">
        <f>$CT51*Table1[[#This Row],[Female% (15-17)]]</f>
        <v>0</v>
      </c>
      <c r="DM51" s="1">
        <f>$CU51*Table1[[#This Row],[Male%(15-17)]]</f>
        <v>0</v>
      </c>
      <c r="DN51" s="1">
        <f>$AF51*Table1[[#This Row],[Total% (18-19)]]</f>
        <v>0</v>
      </c>
      <c r="DO51" s="1">
        <f>$CT51*Table1[[#This Row],[Female% (18-19)]]</f>
        <v>0</v>
      </c>
      <c r="DP51" s="1">
        <f>$CU51*Table1[[#This Row],[Male%(18-19)]]</f>
        <v>0</v>
      </c>
      <c r="DQ51" s="1">
        <f>$AF51*Table1[[#This Row],[Total% (20-24)]]</f>
        <v>0</v>
      </c>
      <c r="DR51" s="1">
        <f>$CT51*Table1[[#This Row],[Female% (20-24)]]</f>
        <v>0</v>
      </c>
      <c r="DS51" s="1">
        <f>$CU51*Table1[[#This Row],[Male% (20-24)]]</f>
        <v>0</v>
      </c>
      <c r="DT51" s="1">
        <f>$AF51*Table1[[#This Row],[Total% (25-29)]]</f>
        <v>0</v>
      </c>
      <c r="DU51" s="1">
        <f>$CT51*Table1[[#This Row],[Female% (25-29)]]</f>
        <v>0</v>
      </c>
      <c r="DV51" s="1">
        <f>$CU51*Table1[[#This Row],[Male% (25-29)]]</f>
        <v>0</v>
      </c>
      <c r="DW51" s="1">
        <f>$AF51*Table1[[#This Row],[Total%   (30-34)]]</f>
        <v>0</v>
      </c>
      <c r="DX51" s="1">
        <f>$CT51*Table1[[#This Row],[Female%   (30-34)]]</f>
        <v>0</v>
      </c>
      <c r="DY51" s="1">
        <f>$CU51*Table1[[#This Row],[Male%  (30-34)]]</f>
        <v>0</v>
      </c>
      <c r="DZ51" s="1">
        <f>$AF51*Table1[[#This Row],[Total% (35-39)]]</f>
        <v>0</v>
      </c>
      <c r="EA51" s="1">
        <f>$CT51*Table1[[#This Row],[Female% (35-39)]]</f>
        <v>0</v>
      </c>
      <c r="EB51" s="1">
        <f>$CU51*Table1[[#This Row],[Male% (35-39)]]</f>
        <v>0</v>
      </c>
      <c r="EC51" s="1">
        <f>$AF51*Table1[[#This Row],[Total% (40-44)]]</f>
        <v>0</v>
      </c>
      <c r="ED51" s="1">
        <f>$CT51*Table1[[#This Row],[Female% (40-44)]]</f>
        <v>0</v>
      </c>
      <c r="EE51" s="1">
        <f>$CU51*Table1[[#This Row],[Male%(55-59)]]</f>
        <v>0</v>
      </c>
      <c r="EF51" s="1">
        <f>$AF51*Table1[[#This Row],[Total% (45-49)]]</f>
        <v>0</v>
      </c>
      <c r="EG51" s="1">
        <f>$CT51*Table1[[#This Row],[Female% (45-49)]]</f>
        <v>0</v>
      </c>
      <c r="EH51" s="1">
        <f>$CU51*Table1[[#This Row],[Male% (45-49)]]</f>
        <v>0</v>
      </c>
      <c r="EI51" s="1">
        <f>$AF51*Table1[[#This Row],[Total% (50-54)]]</f>
        <v>0</v>
      </c>
      <c r="EJ51" s="1">
        <f>$CT51*Table1[[#This Row],[Female%(50-54)]]</f>
        <v>0</v>
      </c>
      <c r="EK51" s="1">
        <f>$CU51*Table1[[#This Row],[Male% (50-54)]]</f>
        <v>0</v>
      </c>
      <c r="EL51" s="1">
        <f>$AF51*Table1[[#This Row],[Total% (55-59)]]</f>
        <v>0</v>
      </c>
      <c r="EM51" s="1">
        <f>$CT51*Table1[[#This Row],[Female% (55-59)]]</f>
        <v>0</v>
      </c>
      <c r="EN51" s="1">
        <f>$CU51*Table1[[#This Row],[Male% (55-59)]]</f>
        <v>0</v>
      </c>
      <c r="EO51" s="1">
        <f>$AF51*Table1[[#This Row],[Total% (60-64)]]</f>
        <v>0</v>
      </c>
      <c r="EP51" s="1">
        <f>$CT51*Table1[[#This Row],[Female%(60-64)]]</f>
        <v>0</v>
      </c>
      <c r="EQ51" s="1">
        <f>$CU51*Table1[[#This Row],[Male%(60-64)]]</f>
        <v>0</v>
      </c>
      <c r="ER51" s="1">
        <f>$AF51*Table1[[#This Row],[Total% (&gt;=65)]]</f>
        <v>0</v>
      </c>
      <c r="ES51" s="1">
        <f>$CT51*Table1[[#This Row],[Female%(&gt;=65)]]</f>
        <v>0</v>
      </c>
      <c r="ET51" s="1">
        <f>$CU51*Table1[[#This Row],[Male% (&gt;=65)]]</f>
        <v>0</v>
      </c>
    </row>
    <row r="52" spans="1:150" hidden="1" x14ac:dyDescent="0.35">
      <c r="A52" t="s">
        <v>104</v>
      </c>
      <c r="B52" t="s">
        <v>105</v>
      </c>
      <c r="C52" t="s">
        <v>153</v>
      </c>
      <c r="D52" t="s">
        <v>154</v>
      </c>
      <c r="E52" t="s">
        <v>365</v>
      </c>
      <c r="F52" t="s">
        <v>366</v>
      </c>
      <c r="H52">
        <v>3</v>
      </c>
      <c r="I52" s="1">
        <v>0</v>
      </c>
      <c r="J52" s="1">
        <v>30355</v>
      </c>
      <c r="K52" s="1">
        <v>170997</v>
      </c>
      <c r="L52" s="1">
        <v>4054</v>
      </c>
      <c r="M52" s="1">
        <v>0</v>
      </c>
      <c r="N52" s="1">
        <v>175051</v>
      </c>
      <c r="O52" s="3">
        <v>1</v>
      </c>
      <c r="P52" s="3">
        <v>0</v>
      </c>
      <c r="Q52" s="3">
        <v>0</v>
      </c>
      <c r="R52" s="3">
        <v>0</v>
      </c>
      <c r="S52" s="3">
        <v>0</v>
      </c>
      <c r="T52" s="1">
        <v>205406</v>
      </c>
      <c r="U52" s="1">
        <v>0</v>
      </c>
      <c r="V52" s="10">
        <f>Table1[[#This Row],[Pop NW+RATAA]]*Table1[[#This Row],[Perc_pop_Northern_Aleppo]]</f>
        <v>0</v>
      </c>
      <c r="W52" s="10">
        <f>Table1[[#This Row],[Pop NW+RATAA]]*Table1[[#This Row],[Perc_pop_Afrin District]]</f>
        <v>0</v>
      </c>
      <c r="X52" s="10">
        <f>Table1[[#This Row],[Pop NW+RATAA]]*Table1[[#This Row],[Perc_pop_Euphrates Shiled]]</f>
        <v>0</v>
      </c>
      <c r="Y52" s="10">
        <f>Table1[[#This Row],[Pop NW+RATAA]]*Table1[[#This Row],[Perc_Pop_Idleb_NSAG]]</f>
        <v>0</v>
      </c>
      <c r="Z52" s="3">
        <v>0</v>
      </c>
      <c r="AA52" s="3">
        <v>0</v>
      </c>
      <c r="AB52" s="3">
        <v>0</v>
      </c>
      <c r="AC52" s="3">
        <v>0</v>
      </c>
      <c r="AD52" s="1">
        <v>175051</v>
      </c>
      <c r="AE52" s="1">
        <v>0</v>
      </c>
      <c r="AF52" s="1">
        <v>0</v>
      </c>
      <c r="AG52" s="1">
        <v>0</v>
      </c>
      <c r="AH52" s="1">
        <v>0</v>
      </c>
      <c r="AI52" s="1">
        <f>Table1[[#This Row],[NWS_pin]]*Table1[[#This Row],[Perc_pop_Northern_Aleppo]]</f>
        <v>0</v>
      </c>
      <c r="AJ52" s="1">
        <f>Table1[[#This Row],[NWS_pin]]*Table1[[#This Row],[Perc_pop_Afrin District]]</f>
        <v>0</v>
      </c>
      <c r="AK52" s="1">
        <f>Table1[[#This Row],[NWS_pin]]*Table1[[#This Row],[Perc_pop_Euphrates Shiled]]</f>
        <v>0</v>
      </c>
      <c r="AL52" s="1">
        <f>Table1[[#This Row],[NWS_pin]]*Table1[[#This Row],[Perc_Pop_Idleb_NSAG]]</f>
        <v>0</v>
      </c>
      <c r="AM52" s="4">
        <v>0.51916283856279899</v>
      </c>
      <c r="AN52" s="4">
        <v>0.48083716143720101</v>
      </c>
      <c r="AO52" s="4">
        <v>0.23548319259197101</v>
      </c>
      <c r="AP52" s="4">
        <v>0.48398502427907503</v>
      </c>
      <c r="AQ52" s="4">
        <v>0.43974389258344199</v>
      </c>
      <c r="AR52" s="4">
        <v>1.26772408063466E-2</v>
      </c>
      <c r="AS52" s="4">
        <v>2.53544816126932E-3</v>
      </c>
      <c r="AT52" s="4">
        <v>6.1058394169867802E-2</v>
      </c>
      <c r="AU52" s="4">
        <v>3.4523607299344401E-2</v>
      </c>
      <c r="AV52" s="4">
        <v>5.4030120893031303E-2</v>
      </c>
      <c r="AW52" s="4">
        <v>1.3462304679777701E-2</v>
      </c>
      <c r="AX52" s="4">
        <v>6.3856508120348002E-2</v>
      </c>
      <c r="AY52" s="4">
        <v>6.2342447184266903E-2</v>
      </c>
      <c r="AZ52" s="4">
        <v>6.5491249018874806E-2</v>
      </c>
      <c r="BA52" s="4">
        <v>7.6489292016334906E-2</v>
      </c>
      <c r="BB52" s="4">
        <v>7.4810936621120205E-2</v>
      </c>
      <c r="BC52" s="4">
        <v>7.8301422652187494E-2</v>
      </c>
      <c r="BD52" s="4">
        <v>7.3935998929993502E-2</v>
      </c>
      <c r="BE52" s="4">
        <v>6.9892839837826598E-2</v>
      </c>
      <c r="BF52" s="4">
        <v>7.8301422652187494E-2</v>
      </c>
      <c r="BG52" s="4">
        <v>6.0905525887081299E-2</v>
      </c>
      <c r="BH52" s="4">
        <v>4.25039429563287E-2</v>
      </c>
      <c r="BI52" s="4">
        <v>8.0773828078666302E-2</v>
      </c>
      <c r="BJ52" s="4">
        <v>8.3139173415319803E-2</v>
      </c>
      <c r="BK52" s="4">
        <v>7.8543488248664597E-2</v>
      </c>
      <c r="BL52" s="4">
        <v>8.8101162936117902E-2</v>
      </c>
      <c r="BM52" s="4">
        <v>4.8845014651584598E-2</v>
      </c>
      <c r="BN52" s="4">
        <v>4.4210231303564301E-2</v>
      </c>
      <c r="BO52" s="4">
        <v>5.38492187191109E-2</v>
      </c>
      <c r="BP52" s="4">
        <v>0.104456663399791</v>
      </c>
      <c r="BQ52" s="4">
        <v>9.7298040696444904E-2</v>
      </c>
      <c r="BR52" s="4">
        <v>0.112185872331481</v>
      </c>
      <c r="BS52" s="4">
        <v>8.0232470268262704E-2</v>
      </c>
      <c r="BT52" s="4">
        <v>9.5591752349209205E-2</v>
      </c>
      <c r="BU52" s="4">
        <v>6.3648959003041197E-2</v>
      </c>
      <c r="BV52" s="4">
        <v>8.8863372093098802E-2</v>
      </c>
      <c r="BW52" s="4">
        <v>0.112980381778765</v>
      </c>
      <c r="BX52" s="4">
        <v>6.2824088505629302E-2</v>
      </c>
      <c r="BY52" s="4">
        <v>7.5477172639502793E-2</v>
      </c>
      <c r="BZ52" s="4">
        <v>7.2097437771201103E-2</v>
      </c>
      <c r="CA52" s="4">
        <v>7.9126293149599403E-2</v>
      </c>
      <c r="CB52" s="4">
        <v>5.7955604412211099E-2</v>
      </c>
      <c r="CC52" s="4">
        <v>4.7424082949031401E-2</v>
      </c>
      <c r="CD52" s="4">
        <v>6.9326552865668994E-2</v>
      </c>
      <c r="CE52" s="4">
        <v>3.9328271324991101E-2</v>
      </c>
      <c r="CF52" s="4">
        <v>4.5717794601795703E-2</v>
      </c>
      <c r="CG52" s="4">
        <v>3.2429463771236303E-2</v>
      </c>
      <c r="CH52" s="4">
        <v>4.0996783667971402E-2</v>
      </c>
      <c r="CI52" s="4">
        <v>3.3249305164942303E-2</v>
      </c>
      <c r="CJ52" s="4">
        <v>4.9361783825851602E-2</v>
      </c>
      <c r="CK52" s="4">
        <v>1.99087422191099E-2</v>
      </c>
      <c r="CL52" s="4">
        <v>1.7566964082622E-2</v>
      </c>
      <c r="CM52" s="4">
        <v>2.24371744662962E-2</v>
      </c>
      <c r="CN52" s="4">
        <v>1.3435565850482801E-2</v>
      </c>
      <c r="CO52" s="4">
        <v>8.3123262912355791E-3</v>
      </c>
      <c r="CP52" s="4">
        <v>1.8967159091458598E-2</v>
      </c>
      <c r="CQ52" s="4">
        <v>3.76502338045724E-2</v>
      </c>
      <c r="CR52" s="4">
        <v>4.3427907269950099E-2</v>
      </c>
      <c r="CS52" s="4">
        <v>3.14120442528147E-2</v>
      </c>
      <c r="CT52" s="1">
        <f>Table1[[#This Row],[Female %]]*Table1[[#This Row],[NWS_pin]]</f>
        <v>0</v>
      </c>
      <c r="CU52" s="1">
        <f>Table1[[#This Row],[Male %]]*Table1[[#This Row],[NWS_pin]]</f>
        <v>0</v>
      </c>
      <c r="CV52" s="1">
        <f>Table1[[#This Row],[Female% (0-2)22]]+Table1[[#This Row],[Male%(0-2)3]]</f>
        <v>0</v>
      </c>
      <c r="CW52" s="1">
        <f>$CT52*Table1[[#This Row],[Female% (0-2)]]</f>
        <v>0</v>
      </c>
      <c r="CX52" s="1">
        <f>$CU52*Table1[[#This Row],[Male%(0-2)]]</f>
        <v>0</v>
      </c>
      <c r="CY52" s="1">
        <f>Table1[[#This Row],[Female%  (3-5)5]]+Table1[[#This Row],[Male% (3-5)6]]</f>
        <v>0</v>
      </c>
      <c r="CZ52" s="1">
        <f>$AF52*Table1[[#This Row],[Female%  (3-5)]]</f>
        <v>0</v>
      </c>
      <c r="DA52" s="1">
        <f>$CU52*Table1[[#This Row],[Male% (3-5)]]</f>
        <v>0</v>
      </c>
      <c r="DB52" s="1">
        <f>Table1[[#This Row],[Female% (6-8)8]]+Table1[[#This Row],[Male%(6-8)9]]</f>
        <v>0</v>
      </c>
      <c r="DC52" s="1">
        <f>$CT52*Table1[[#This Row],[Female% (6-8)]]</f>
        <v>0</v>
      </c>
      <c r="DD52" s="1">
        <f>$CU52*Table1[[#This Row],[Male%(6-8)]]</f>
        <v>0</v>
      </c>
      <c r="DE52" s="1">
        <f>Table1[[#This Row],[Female% (9 - 11)11]]+Table1[[#This Row],[Male% (9 - 11)12]]</f>
        <v>0</v>
      </c>
      <c r="DF52" s="1">
        <f>$CT52*Table1[[#This Row],[Female% (9 - 11)]]</f>
        <v>0</v>
      </c>
      <c r="DG52" s="1">
        <f>$CU52*Table1[[#This Row],[Male% (9 - 11)]]</f>
        <v>0</v>
      </c>
      <c r="DH52" s="1">
        <f>Table1[[#This Row],[Female% (12-14)14]]+Table1[[#This Row],[Male%(12-14)15]]</f>
        <v>0</v>
      </c>
      <c r="DI52" s="1">
        <f>$CT52*Table1[[#This Row],[Female% (12-14)]]</f>
        <v>0</v>
      </c>
      <c r="DJ52" s="1">
        <f>$CU52*Table1[[#This Row],[Male%(12-14)]]</f>
        <v>0</v>
      </c>
      <c r="DK52" s="1">
        <f>Table1[[#This Row],[Female% (15-17)17]]+Table1[[#This Row],[Male%(15-17)18]]</f>
        <v>0</v>
      </c>
      <c r="DL52" s="1">
        <f>$CT52*Table1[[#This Row],[Female% (15-17)]]</f>
        <v>0</v>
      </c>
      <c r="DM52" s="1">
        <f>$CU52*Table1[[#This Row],[Male%(15-17)]]</f>
        <v>0</v>
      </c>
      <c r="DN52" s="1">
        <f>$AF52*Table1[[#This Row],[Total% (18-19)]]</f>
        <v>0</v>
      </c>
      <c r="DO52" s="1">
        <f>$CT52*Table1[[#This Row],[Female% (18-19)]]</f>
        <v>0</v>
      </c>
      <c r="DP52" s="1">
        <f>$CU52*Table1[[#This Row],[Male%(18-19)]]</f>
        <v>0</v>
      </c>
      <c r="DQ52" s="1">
        <f>$AF52*Table1[[#This Row],[Total% (20-24)]]</f>
        <v>0</v>
      </c>
      <c r="DR52" s="1">
        <f>$CT52*Table1[[#This Row],[Female% (20-24)]]</f>
        <v>0</v>
      </c>
      <c r="DS52" s="1">
        <f>$CU52*Table1[[#This Row],[Male% (20-24)]]</f>
        <v>0</v>
      </c>
      <c r="DT52" s="1">
        <f>$AF52*Table1[[#This Row],[Total% (25-29)]]</f>
        <v>0</v>
      </c>
      <c r="DU52" s="1">
        <f>$CT52*Table1[[#This Row],[Female% (25-29)]]</f>
        <v>0</v>
      </c>
      <c r="DV52" s="1">
        <f>$CU52*Table1[[#This Row],[Male% (25-29)]]</f>
        <v>0</v>
      </c>
      <c r="DW52" s="1">
        <f>$AF52*Table1[[#This Row],[Total%   (30-34)]]</f>
        <v>0</v>
      </c>
      <c r="DX52" s="1">
        <f>$CT52*Table1[[#This Row],[Female%   (30-34)]]</f>
        <v>0</v>
      </c>
      <c r="DY52" s="1">
        <f>$CU52*Table1[[#This Row],[Male%  (30-34)]]</f>
        <v>0</v>
      </c>
      <c r="DZ52" s="1">
        <f>$AF52*Table1[[#This Row],[Total% (35-39)]]</f>
        <v>0</v>
      </c>
      <c r="EA52" s="1">
        <f>$CT52*Table1[[#This Row],[Female% (35-39)]]</f>
        <v>0</v>
      </c>
      <c r="EB52" s="1">
        <f>$CU52*Table1[[#This Row],[Male% (35-39)]]</f>
        <v>0</v>
      </c>
      <c r="EC52" s="1">
        <f>$AF52*Table1[[#This Row],[Total% (40-44)]]</f>
        <v>0</v>
      </c>
      <c r="ED52" s="1">
        <f>$CT52*Table1[[#This Row],[Female% (40-44)]]</f>
        <v>0</v>
      </c>
      <c r="EE52" s="1">
        <f>$CU52*Table1[[#This Row],[Male%(55-59)]]</f>
        <v>0</v>
      </c>
      <c r="EF52" s="1">
        <f>$AF52*Table1[[#This Row],[Total% (45-49)]]</f>
        <v>0</v>
      </c>
      <c r="EG52" s="1">
        <f>$CT52*Table1[[#This Row],[Female% (45-49)]]</f>
        <v>0</v>
      </c>
      <c r="EH52" s="1">
        <f>$CU52*Table1[[#This Row],[Male% (45-49)]]</f>
        <v>0</v>
      </c>
      <c r="EI52" s="1">
        <f>$AF52*Table1[[#This Row],[Total% (50-54)]]</f>
        <v>0</v>
      </c>
      <c r="EJ52" s="1">
        <f>$CT52*Table1[[#This Row],[Female%(50-54)]]</f>
        <v>0</v>
      </c>
      <c r="EK52" s="1">
        <f>$CU52*Table1[[#This Row],[Male% (50-54)]]</f>
        <v>0</v>
      </c>
      <c r="EL52" s="1">
        <f>$AF52*Table1[[#This Row],[Total% (55-59)]]</f>
        <v>0</v>
      </c>
      <c r="EM52" s="1">
        <f>$CT52*Table1[[#This Row],[Female% (55-59)]]</f>
        <v>0</v>
      </c>
      <c r="EN52" s="1">
        <f>$CU52*Table1[[#This Row],[Male% (55-59)]]</f>
        <v>0</v>
      </c>
      <c r="EO52" s="1">
        <f>$AF52*Table1[[#This Row],[Total% (60-64)]]</f>
        <v>0</v>
      </c>
      <c r="EP52" s="1">
        <f>$CT52*Table1[[#This Row],[Female%(60-64)]]</f>
        <v>0</v>
      </c>
      <c r="EQ52" s="1">
        <f>$CU52*Table1[[#This Row],[Male%(60-64)]]</f>
        <v>0</v>
      </c>
      <c r="ER52" s="1">
        <f>$AF52*Table1[[#This Row],[Total% (&gt;=65)]]</f>
        <v>0</v>
      </c>
      <c r="ES52" s="1">
        <f>$CT52*Table1[[#This Row],[Female%(&gt;=65)]]</f>
        <v>0</v>
      </c>
      <c r="ET52" s="1">
        <f>$CU52*Table1[[#This Row],[Male% (&gt;=65)]]</f>
        <v>0</v>
      </c>
    </row>
    <row r="53" spans="1:150" hidden="1" x14ac:dyDescent="0.35">
      <c r="A53" t="s">
        <v>104</v>
      </c>
      <c r="B53" t="s">
        <v>105</v>
      </c>
      <c r="C53" t="s">
        <v>153</v>
      </c>
      <c r="D53" t="s">
        <v>154</v>
      </c>
      <c r="E53" t="s">
        <v>363</v>
      </c>
      <c r="F53" t="s">
        <v>364</v>
      </c>
      <c r="H53">
        <v>4</v>
      </c>
      <c r="I53" s="1">
        <v>0</v>
      </c>
      <c r="J53" s="1">
        <v>0</v>
      </c>
      <c r="K53" s="1">
        <v>3322</v>
      </c>
      <c r="L53" s="1">
        <v>6645</v>
      </c>
      <c r="M53" s="1">
        <v>403</v>
      </c>
      <c r="N53" s="1">
        <v>10370</v>
      </c>
      <c r="O53" s="3">
        <v>1</v>
      </c>
      <c r="P53" s="3">
        <v>0</v>
      </c>
      <c r="Q53" s="3">
        <v>0</v>
      </c>
      <c r="R53" s="3">
        <v>0</v>
      </c>
      <c r="S53" s="3">
        <v>0</v>
      </c>
      <c r="T53" s="1">
        <v>10370</v>
      </c>
      <c r="U53" s="1">
        <v>0</v>
      </c>
      <c r="V53" s="10">
        <f>Table1[[#This Row],[Pop NW+RATAA]]*Table1[[#This Row],[Perc_pop_Northern_Aleppo]]</f>
        <v>0</v>
      </c>
      <c r="W53" s="10">
        <f>Table1[[#This Row],[Pop NW+RATAA]]*Table1[[#This Row],[Perc_pop_Afrin District]]</f>
        <v>0</v>
      </c>
      <c r="X53" s="10">
        <f>Table1[[#This Row],[Pop NW+RATAA]]*Table1[[#This Row],[Perc_pop_Euphrates Shiled]]</f>
        <v>0</v>
      </c>
      <c r="Y53" s="10">
        <f>Table1[[#This Row],[Pop NW+RATAA]]*Table1[[#This Row],[Perc_Pop_Idleb_NSAG]]</f>
        <v>0</v>
      </c>
      <c r="Z53" s="3">
        <v>0</v>
      </c>
      <c r="AA53" s="3">
        <v>0</v>
      </c>
      <c r="AB53" s="3">
        <v>0</v>
      </c>
      <c r="AC53" s="3">
        <v>0</v>
      </c>
      <c r="AD53" s="1">
        <v>10370</v>
      </c>
      <c r="AE53" s="1">
        <v>0</v>
      </c>
      <c r="AF53" s="1">
        <v>0</v>
      </c>
      <c r="AG53" s="1">
        <v>0</v>
      </c>
      <c r="AH53" s="1">
        <v>0</v>
      </c>
      <c r="AI53" s="1">
        <f>Table1[[#This Row],[NWS_pin]]*Table1[[#This Row],[Perc_pop_Northern_Aleppo]]</f>
        <v>0</v>
      </c>
      <c r="AJ53" s="1">
        <f>Table1[[#This Row],[NWS_pin]]*Table1[[#This Row],[Perc_pop_Afrin District]]</f>
        <v>0</v>
      </c>
      <c r="AK53" s="1">
        <f>Table1[[#This Row],[NWS_pin]]*Table1[[#This Row],[Perc_pop_Euphrates Shiled]]</f>
        <v>0</v>
      </c>
      <c r="AL53" s="1">
        <f>Table1[[#This Row],[NWS_pin]]*Table1[[#This Row],[Perc_Pop_Idleb_NSAG]]</f>
        <v>0</v>
      </c>
      <c r="AM53" s="4">
        <v>0.51642013955489197</v>
      </c>
      <c r="AN53" s="4">
        <v>0.48357986044510798</v>
      </c>
      <c r="AO53" s="4">
        <v>2.8205518641565199E-2</v>
      </c>
      <c r="AP53" s="4">
        <v>0.47746696547117801</v>
      </c>
      <c r="AQ53" s="4">
        <v>0.47155967179173802</v>
      </c>
      <c r="AR53" s="4">
        <v>1.4876304358071401E-2</v>
      </c>
      <c r="AS53" s="4">
        <v>2.2971003069842599E-3</v>
      </c>
      <c r="AT53" s="4">
        <v>3.3799958072028402E-2</v>
      </c>
      <c r="AU53" s="4">
        <v>7.4621705186721898E-2</v>
      </c>
      <c r="AV53" s="4">
        <v>7.5889905786701503E-2</v>
      </c>
      <c r="AW53" s="4">
        <v>7.3267380111599306E-2</v>
      </c>
      <c r="AX53" s="4">
        <v>0.110386913795897</v>
      </c>
      <c r="AY53" s="4">
        <v>8.3495003257438596E-2</v>
      </c>
      <c r="AZ53" s="4">
        <v>0.13910507459851101</v>
      </c>
      <c r="BA53" s="4">
        <v>7.8215172264815405E-2</v>
      </c>
      <c r="BB53" s="4">
        <v>8.4789564657151595E-2</v>
      </c>
      <c r="BC53" s="4">
        <v>7.1194307844171703E-2</v>
      </c>
      <c r="BD53" s="4">
        <v>8.0638543395041104E-2</v>
      </c>
      <c r="BE53" s="4">
        <v>7.0064980491428494E-2</v>
      </c>
      <c r="BF53" s="4">
        <v>9.19301650627634E-2</v>
      </c>
      <c r="BG53" s="4">
        <v>8.0805522604577698E-2</v>
      </c>
      <c r="BH53" s="4">
        <v>8.8673248856290507E-2</v>
      </c>
      <c r="BI53" s="4">
        <v>7.2403493030497895E-2</v>
      </c>
      <c r="BJ53" s="4">
        <v>6.5262799825447804E-2</v>
      </c>
      <c r="BK53" s="4">
        <v>7.63755165624527E-2</v>
      </c>
      <c r="BL53" s="4">
        <v>5.3395409974109097E-2</v>
      </c>
      <c r="BM53" s="4">
        <v>4.3787038813044701E-2</v>
      </c>
      <c r="BN53" s="4">
        <v>6.1003050693437803E-2</v>
      </c>
      <c r="BO53" s="4">
        <v>2.5401874365402401E-2</v>
      </c>
      <c r="BP53" s="4">
        <v>8.2142597761982003E-2</v>
      </c>
      <c r="BQ53" s="4">
        <v>7.3786393763026703E-2</v>
      </c>
      <c r="BR53" s="4">
        <v>9.1066277981662003E-2</v>
      </c>
      <c r="BS53" s="4">
        <v>7.6460338713291706E-2</v>
      </c>
      <c r="BT53" s="4">
        <v>8.1877102009515104E-2</v>
      </c>
      <c r="BU53" s="4">
        <v>7.0675718868295101E-2</v>
      </c>
      <c r="BV53" s="4">
        <v>7.7546634686113197E-2</v>
      </c>
      <c r="BW53" s="4">
        <v>8.8673248856290507E-2</v>
      </c>
      <c r="BX53" s="4">
        <v>6.5664403616259595E-2</v>
      </c>
      <c r="BY53" s="4">
        <v>7.2282134031542294E-2</v>
      </c>
      <c r="BZ53" s="4">
        <v>6.8284808315964299E-2</v>
      </c>
      <c r="CA53" s="4">
        <v>7.6550921201432004E-2</v>
      </c>
      <c r="CB53" s="4">
        <v>4.6210409943270497E-2</v>
      </c>
      <c r="CC53" s="4">
        <v>3.8996708905188103E-2</v>
      </c>
      <c r="CD53" s="4">
        <v>5.3913998949985699E-2</v>
      </c>
      <c r="CE53" s="4">
        <v>4.1363667682819003E-2</v>
      </c>
      <c r="CF53" s="4">
        <v>3.47896848578386E-2</v>
      </c>
      <c r="CG53" s="4">
        <v>4.8384094722073501E-2</v>
      </c>
      <c r="CH53" s="4">
        <v>2.1893519406522399E-2</v>
      </c>
      <c r="CI53" s="4">
        <v>2.45954645876756E-2</v>
      </c>
      <c r="CJ53" s="4">
        <v>1.9008083056388899E-2</v>
      </c>
      <c r="CK53" s="4">
        <v>2.3230594563926701E-2</v>
      </c>
      <c r="CL53" s="4">
        <v>2.45954645876756E-2</v>
      </c>
      <c r="CM53" s="4">
        <v>2.1773035170344901E-2</v>
      </c>
      <c r="CN53" s="4">
        <v>8.1056301789160495E-3</v>
      </c>
      <c r="CO53" s="4">
        <v>5.5015854470624199E-3</v>
      </c>
      <c r="CP53" s="4">
        <v>1.0886517585172501E-2</v>
      </c>
      <c r="CQ53" s="4">
        <v>1.70467771460708E-2</v>
      </c>
      <c r="CR53" s="4">
        <v>1.8608268364861999E-2</v>
      </c>
      <c r="CS53" s="4">
        <v>1.5379243861331399E-2</v>
      </c>
      <c r="CT53" s="1">
        <f>Table1[[#This Row],[Female %]]*Table1[[#This Row],[NWS_pin]]</f>
        <v>0</v>
      </c>
      <c r="CU53" s="1">
        <f>Table1[[#This Row],[Male %]]*Table1[[#This Row],[NWS_pin]]</f>
        <v>0</v>
      </c>
      <c r="CV53" s="1">
        <f>Table1[[#This Row],[Female% (0-2)22]]+Table1[[#This Row],[Male%(0-2)3]]</f>
        <v>0</v>
      </c>
      <c r="CW53" s="1">
        <f>$CT53*Table1[[#This Row],[Female% (0-2)]]</f>
        <v>0</v>
      </c>
      <c r="CX53" s="1">
        <f>$CU53*Table1[[#This Row],[Male%(0-2)]]</f>
        <v>0</v>
      </c>
      <c r="CY53" s="1">
        <f>Table1[[#This Row],[Female%  (3-5)5]]+Table1[[#This Row],[Male% (3-5)6]]</f>
        <v>0</v>
      </c>
      <c r="CZ53" s="1">
        <f>$AF53*Table1[[#This Row],[Female%  (3-5)]]</f>
        <v>0</v>
      </c>
      <c r="DA53" s="1">
        <f>$CU53*Table1[[#This Row],[Male% (3-5)]]</f>
        <v>0</v>
      </c>
      <c r="DB53" s="1">
        <f>Table1[[#This Row],[Female% (6-8)8]]+Table1[[#This Row],[Male%(6-8)9]]</f>
        <v>0</v>
      </c>
      <c r="DC53" s="1">
        <f>$CT53*Table1[[#This Row],[Female% (6-8)]]</f>
        <v>0</v>
      </c>
      <c r="DD53" s="1">
        <f>$CU53*Table1[[#This Row],[Male%(6-8)]]</f>
        <v>0</v>
      </c>
      <c r="DE53" s="1">
        <f>Table1[[#This Row],[Female% (9 - 11)11]]+Table1[[#This Row],[Male% (9 - 11)12]]</f>
        <v>0</v>
      </c>
      <c r="DF53" s="1">
        <f>$CT53*Table1[[#This Row],[Female% (9 - 11)]]</f>
        <v>0</v>
      </c>
      <c r="DG53" s="1">
        <f>$CU53*Table1[[#This Row],[Male% (9 - 11)]]</f>
        <v>0</v>
      </c>
      <c r="DH53" s="1">
        <f>Table1[[#This Row],[Female% (12-14)14]]+Table1[[#This Row],[Male%(12-14)15]]</f>
        <v>0</v>
      </c>
      <c r="DI53" s="1">
        <f>$CT53*Table1[[#This Row],[Female% (12-14)]]</f>
        <v>0</v>
      </c>
      <c r="DJ53" s="1">
        <f>$CU53*Table1[[#This Row],[Male%(12-14)]]</f>
        <v>0</v>
      </c>
      <c r="DK53" s="1">
        <f>Table1[[#This Row],[Female% (15-17)17]]+Table1[[#This Row],[Male%(15-17)18]]</f>
        <v>0</v>
      </c>
      <c r="DL53" s="1">
        <f>$CT53*Table1[[#This Row],[Female% (15-17)]]</f>
        <v>0</v>
      </c>
      <c r="DM53" s="1">
        <f>$CU53*Table1[[#This Row],[Male%(15-17)]]</f>
        <v>0</v>
      </c>
      <c r="DN53" s="1">
        <f>$AF53*Table1[[#This Row],[Total% (18-19)]]</f>
        <v>0</v>
      </c>
      <c r="DO53" s="1">
        <f>$CT53*Table1[[#This Row],[Female% (18-19)]]</f>
        <v>0</v>
      </c>
      <c r="DP53" s="1">
        <f>$CU53*Table1[[#This Row],[Male%(18-19)]]</f>
        <v>0</v>
      </c>
      <c r="DQ53" s="1">
        <f>$AF53*Table1[[#This Row],[Total% (20-24)]]</f>
        <v>0</v>
      </c>
      <c r="DR53" s="1">
        <f>$CT53*Table1[[#This Row],[Female% (20-24)]]</f>
        <v>0</v>
      </c>
      <c r="DS53" s="1">
        <f>$CU53*Table1[[#This Row],[Male% (20-24)]]</f>
        <v>0</v>
      </c>
      <c r="DT53" s="1">
        <f>$AF53*Table1[[#This Row],[Total% (25-29)]]</f>
        <v>0</v>
      </c>
      <c r="DU53" s="1">
        <f>$CT53*Table1[[#This Row],[Female% (25-29)]]</f>
        <v>0</v>
      </c>
      <c r="DV53" s="1">
        <f>$CU53*Table1[[#This Row],[Male% (25-29)]]</f>
        <v>0</v>
      </c>
      <c r="DW53" s="1">
        <f>$AF53*Table1[[#This Row],[Total%   (30-34)]]</f>
        <v>0</v>
      </c>
      <c r="DX53" s="1">
        <f>$CT53*Table1[[#This Row],[Female%   (30-34)]]</f>
        <v>0</v>
      </c>
      <c r="DY53" s="1">
        <f>$CU53*Table1[[#This Row],[Male%  (30-34)]]</f>
        <v>0</v>
      </c>
      <c r="DZ53" s="1">
        <f>$AF53*Table1[[#This Row],[Total% (35-39)]]</f>
        <v>0</v>
      </c>
      <c r="EA53" s="1">
        <f>$CT53*Table1[[#This Row],[Female% (35-39)]]</f>
        <v>0</v>
      </c>
      <c r="EB53" s="1">
        <f>$CU53*Table1[[#This Row],[Male% (35-39)]]</f>
        <v>0</v>
      </c>
      <c r="EC53" s="1">
        <f>$AF53*Table1[[#This Row],[Total% (40-44)]]</f>
        <v>0</v>
      </c>
      <c r="ED53" s="1">
        <f>$CT53*Table1[[#This Row],[Female% (40-44)]]</f>
        <v>0</v>
      </c>
      <c r="EE53" s="1">
        <f>$CU53*Table1[[#This Row],[Male%(55-59)]]</f>
        <v>0</v>
      </c>
      <c r="EF53" s="1">
        <f>$AF53*Table1[[#This Row],[Total% (45-49)]]</f>
        <v>0</v>
      </c>
      <c r="EG53" s="1">
        <f>$CT53*Table1[[#This Row],[Female% (45-49)]]</f>
        <v>0</v>
      </c>
      <c r="EH53" s="1">
        <f>$CU53*Table1[[#This Row],[Male% (45-49)]]</f>
        <v>0</v>
      </c>
      <c r="EI53" s="1">
        <f>$AF53*Table1[[#This Row],[Total% (50-54)]]</f>
        <v>0</v>
      </c>
      <c r="EJ53" s="1">
        <f>$CT53*Table1[[#This Row],[Female%(50-54)]]</f>
        <v>0</v>
      </c>
      <c r="EK53" s="1">
        <f>$CU53*Table1[[#This Row],[Male% (50-54)]]</f>
        <v>0</v>
      </c>
      <c r="EL53" s="1">
        <f>$AF53*Table1[[#This Row],[Total% (55-59)]]</f>
        <v>0</v>
      </c>
      <c r="EM53" s="1">
        <f>$CT53*Table1[[#This Row],[Female% (55-59)]]</f>
        <v>0</v>
      </c>
      <c r="EN53" s="1">
        <f>$CU53*Table1[[#This Row],[Male% (55-59)]]</f>
        <v>0</v>
      </c>
      <c r="EO53" s="1">
        <f>$AF53*Table1[[#This Row],[Total% (60-64)]]</f>
        <v>0</v>
      </c>
      <c r="EP53" s="1">
        <f>$CT53*Table1[[#This Row],[Female%(60-64)]]</f>
        <v>0</v>
      </c>
      <c r="EQ53" s="1">
        <f>$CU53*Table1[[#This Row],[Male%(60-64)]]</f>
        <v>0</v>
      </c>
      <c r="ER53" s="1">
        <f>$AF53*Table1[[#This Row],[Total% (&gt;=65)]]</f>
        <v>0</v>
      </c>
      <c r="ES53" s="1">
        <f>$CT53*Table1[[#This Row],[Female%(&gt;=65)]]</f>
        <v>0</v>
      </c>
      <c r="ET53" s="1">
        <f>$CU53*Table1[[#This Row],[Male% (&gt;=65)]]</f>
        <v>0</v>
      </c>
    </row>
    <row r="54" spans="1:150" hidden="1" x14ac:dyDescent="0.35">
      <c r="A54" t="s">
        <v>104</v>
      </c>
      <c r="B54" t="s">
        <v>105</v>
      </c>
      <c r="C54" t="s">
        <v>153</v>
      </c>
      <c r="D54" t="s">
        <v>154</v>
      </c>
      <c r="E54" t="s">
        <v>222</v>
      </c>
      <c r="F54" t="s">
        <v>223</v>
      </c>
      <c r="H54">
        <v>4</v>
      </c>
      <c r="I54" s="1">
        <v>0</v>
      </c>
      <c r="J54" s="1">
        <v>0</v>
      </c>
      <c r="K54" s="1">
        <v>0</v>
      </c>
      <c r="L54" s="1">
        <v>31594</v>
      </c>
      <c r="M54" s="1">
        <v>0</v>
      </c>
      <c r="N54" s="1">
        <v>31594</v>
      </c>
      <c r="O54" s="3">
        <v>1</v>
      </c>
      <c r="P54" s="3">
        <v>0</v>
      </c>
      <c r="Q54" s="3">
        <v>0</v>
      </c>
      <c r="R54" s="3">
        <v>0</v>
      </c>
      <c r="S54" s="3">
        <v>0</v>
      </c>
      <c r="T54" s="1">
        <v>31594</v>
      </c>
      <c r="U54" s="1">
        <v>0</v>
      </c>
      <c r="V54" s="10">
        <f>Table1[[#This Row],[Pop NW+RATAA]]*Table1[[#This Row],[Perc_pop_Northern_Aleppo]]</f>
        <v>0</v>
      </c>
      <c r="W54" s="10">
        <f>Table1[[#This Row],[Pop NW+RATAA]]*Table1[[#This Row],[Perc_pop_Afrin District]]</f>
        <v>0</v>
      </c>
      <c r="X54" s="10">
        <f>Table1[[#This Row],[Pop NW+RATAA]]*Table1[[#This Row],[Perc_pop_Euphrates Shiled]]</f>
        <v>0</v>
      </c>
      <c r="Y54" s="10">
        <f>Table1[[#This Row],[Pop NW+RATAA]]*Table1[[#This Row],[Perc_Pop_Idleb_NSAG]]</f>
        <v>0</v>
      </c>
      <c r="Z54" s="3">
        <v>0</v>
      </c>
      <c r="AA54" s="3">
        <v>0</v>
      </c>
      <c r="AB54" s="3">
        <v>0</v>
      </c>
      <c r="AC54" s="3">
        <v>0</v>
      </c>
      <c r="AD54" s="1">
        <v>31594</v>
      </c>
      <c r="AE54" s="1">
        <v>0</v>
      </c>
      <c r="AF54" s="1">
        <v>0</v>
      </c>
      <c r="AG54" s="1">
        <v>0</v>
      </c>
      <c r="AH54" s="1">
        <v>0</v>
      </c>
      <c r="AI54" s="1">
        <f>Table1[[#This Row],[NWS_pin]]*Table1[[#This Row],[Perc_pop_Northern_Aleppo]]</f>
        <v>0</v>
      </c>
      <c r="AJ54" s="1">
        <f>Table1[[#This Row],[NWS_pin]]*Table1[[#This Row],[Perc_pop_Afrin District]]</f>
        <v>0</v>
      </c>
      <c r="AK54" s="1">
        <f>Table1[[#This Row],[NWS_pin]]*Table1[[#This Row],[Perc_pop_Euphrates Shiled]]</f>
        <v>0</v>
      </c>
      <c r="AL54" s="1">
        <f>Table1[[#This Row],[NWS_pin]]*Table1[[#This Row],[Perc_Pop_Idleb_NSAG]]</f>
        <v>0</v>
      </c>
      <c r="AM54" s="4">
        <v>0.50628478596011595</v>
      </c>
      <c r="AN54" s="4">
        <v>0.493715214039885</v>
      </c>
      <c r="AO54" s="4">
        <v>0.16578947368421099</v>
      </c>
      <c r="AP54" s="4">
        <v>0.49335713922653301</v>
      </c>
      <c r="AQ54" s="4">
        <v>0.476666478147665</v>
      </c>
      <c r="AR54" s="4">
        <v>0</v>
      </c>
      <c r="AS54" s="4">
        <v>0</v>
      </c>
      <c r="AT54" s="4">
        <v>2.9976382625802399E-2</v>
      </c>
      <c r="AU54" s="4">
        <v>2.6229693451741101E-2</v>
      </c>
      <c r="AV54" s="4">
        <v>2.5904090127850901E-2</v>
      </c>
      <c r="AW54" s="4">
        <v>2.6563586360964501E-2</v>
      </c>
      <c r="AX54" s="4">
        <v>8.7704948908623501E-2</v>
      </c>
      <c r="AY54" s="4">
        <v>8.5087352979805103E-2</v>
      </c>
      <c r="AZ54" s="4">
        <v>9.0389186616649297E-2</v>
      </c>
      <c r="BA54" s="4">
        <v>0.106739495535821</v>
      </c>
      <c r="BB54" s="4">
        <v>0.15038608431497999</v>
      </c>
      <c r="BC54" s="4">
        <v>6.19817015089172E-2</v>
      </c>
      <c r="BD54" s="4">
        <v>6.2385616321310601E-2</v>
      </c>
      <c r="BE54" s="4">
        <v>6.3500611206596003E-2</v>
      </c>
      <c r="BF54" s="4">
        <v>6.12422346089583E-2</v>
      </c>
      <c r="BG54" s="4">
        <v>9.2986925348342006E-2</v>
      </c>
      <c r="BH54" s="4">
        <v>6.7817959561237803E-2</v>
      </c>
      <c r="BI54" s="4">
        <v>0.11879667172438101</v>
      </c>
      <c r="BJ54" s="4">
        <v>8.5519141120978401E-2</v>
      </c>
      <c r="BK54" s="4">
        <v>9.8039398043730602E-2</v>
      </c>
      <c r="BL54" s="4">
        <v>7.2680129042673E-2</v>
      </c>
      <c r="BM54" s="4">
        <v>3.6521008928358203E-2</v>
      </c>
      <c r="BN54" s="4">
        <v>3.0221438482492799E-2</v>
      </c>
      <c r="BO54" s="4">
        <v>4.2980961111577599E-2</v>
      </c>
      <c r="BP54" s="4">
        <v>8.6794588044195306E-2</v>
      </c>
      <c r="BQ54" s="4">
        <v>6.4760225319627399E-2</v>
      </c>
      <c r="BR54" s="4">
        <v>0.109389927013989</v>
      </c>
      <c r="BS54" s="4">
        <v>8.2422972468905106E-2</v>
      </c>
      <c r="BT54" s="4">
        <v>0.115308791462298</v>
      </c>
      <c r="BU54" s="4">
        <v>4.8699908328435002E-2</v>
      </c>
      <c r="BV54" s="4">
        <v>7.3679741318324707E-2</v>
      </c>
      <c r="BW54" s="4">
        <v>5.9183262851954202E-2</v>
      </c>
      <c r="BX54" s="4">
        <v>8.8545287869881806E-2</v>
      </c>
      <c r="BY54" s="4">
        <v>9.20765644839137E-2</v>
      </c>
      <c r="BZ54" s="4">
        <v>0.118366525703908</v>
      </c>
      <c r="CA54" s="4">
        <v>6.5117283079048099E-2</v>
      </c>
      <c r="CB54" s="4">
        <v>7.0218486607462799E-2</v>
      </c>
      <c r="CC54" s="4">
        <v>3.45387868371346E-2</v>
      </c>
      <c r="CD54" s="4">
        <v>0.10680656136726201</v>
      </c>
      <c r="CE54" s="4">
        <v>5.49178320939471E-2</v>
      </c>
      <c r="CF54" s="4">
        <v>6.9616079689816895E-2</v>
      </c>
      <c r="CG54" s="4">
        <v>3.9845379541446797E-2</v>
      </c>
      <c r="CH54" s="4">
        <v>2.4043885664096001E-2</v>
      </c>
      <c r="CI54" s="4">
        <v>4.3173483546418197E-3</v>
      </c>
      <c r="CJ54" s="4">
        <v>4.4272643934940903E-2</v>
      </c>
      <c r="CK54" s="4">
        <v>1.12016763410453E-2</v>
      </c>
      <c r="CL54" s="4">
        <v>4.3173483546418197E-3</v>
      </c>
      <c r="CM54" s="4">
        <v>1.8261273497380701E-2</v>
      </c>
      <c r="CN54" s="4">
        <v>4.3716155752901902E-3</v>
      </c>
      <c r="CO54" s="4">
        <v>8.6346967092836499E-3</v>
      </c>
      <c r="CP54" s="4">
        <v>0</v>
      </c>
      <c r="CQ54" s="4">
        <v>2.1858077876450899E-3</v>
      </c>
      <c r="CR54" s="4">
        <v>0</v>
      </c>
      <c r="CS54" s="4">
        <v>4.4272643934940899E-3</v>
      </c>
      <c r="CT54" s="1">
        <f>Table1[[#This Row],[Female %]]*Table1[[#This Row],[NWS_pin]]</f>
        <v>0</v>
      </c>
      <c r="CU54" s="1">
        <f>Table1[[#This Row],[Male %]]*Table1[[#This Row],[NWS_pin]]</f>
        <v>0</v>
      </c>
      <c r="CV54" s="1">
        <f>Table1[[#This Row],[Female% (0-2)22]]+Table1[[#This Row],[Male%(0-2)3]]</f>
        <v>0</v>
      </c>
      <c r="CW54" s="1">
        <f>$CT54*Table1[[#This Row],[Female% (0-2)]]</f>
        <v>0</v>
      </c>
      <c r="CX54" s="1">
        <f>$CU54*Table1[[#This Row],[Male%(0-2)]]</f>
        <v>0</v>
      </c>
      <c r="CY54" s="1">
        <f>Table1[[#This Row],[Female%  (3-5)5]]+Table1[[#This Row],[Male% (3-5)6]]</f>
        <v>0</v>
      </c>
      <c r="CZ54" s="1">
        <f>$AF54*Table1[[#This Row],[Female%  (3-5)]]</f>
        <v>0</v>
      </c>
      <c r="DA54" s="1">
        <f>$CU54*Table1[[#This Row],[Male% (3-5)]]</f>
        <v>0</v>
      </c>
      <c r="DB54" s="1">
        <f>Table1[[#This Row],[Female% (6-8)8]]+Table1[[#This Row],[Male%(6-8)9]]</f>
        <v>0</v>
      </c>
      <c r="DC54" s="1">
        <f>$CT54*Table1[[#This Row],[Female% (6-8)]]</f>
        <v>0</v>
      </c>
      <c r="DD54" s="1">
        <f>$CU54*Table1[[#This Row],[Male%(6-8)]]</f>
        <v>0</v>
      </c>
      <c r="DE54" s="1">
        <f>Table1[[#This Row],[Female% (9 - 11)11]]+Table1[[#This Row],[Male% (9 - 11)12]]</f>
        <v>0</v>
      </c>
      <c r="DF54" s="1">
        <f>$CT54*Table1[[#This Row],[Female% (9 - 11)]]</f>
        <v>0</v>
      </c>
      <c r="DG54" s="1">
        <f>$CU54*Table1[[#This Row],[Male% (9 - 11)]]</f>
        <v>0</v>
      </c>
      <c r="DH54" s="1">
        <f>Table1[[#This Row],[Female% (12-14)14]]+Table1[[#This Row],[Male%(12-14)15]]</f>
        <v>0</v>
      </c>
      <c r="DI54" s="1">
        <f>$CT54*Table1[[#This Row],[Female% (12-14)]]</f>
        <v>0</v>
      </c>
      <c r="DJ54" s="1">
        <f>$CU54*Table1[[#This Row],[Male%(12-14)]]</f>
        <v>0</v>
      </c>
      <c r="DK54" s="1">
        <f>Table1[[#This Row],[Female% (15-17)17]]+Table1[[#This Row],[Male%(15-17)18]]</f>
        <v>0</v>
      </c>
      <c r="DL54" s="1">
        <f>$CT54*Table1[[#This Row],[Female% (15-17)]]</f>
        <v>0</v>
      </c>
      <c r="DM54" s="1">
        <f>$CU54*Table1[[#This Row],[Male%(15-17)]]</f>
        <v>0</v>
      </c>
      <c r="DN54" s="1">
        <f>$AF54*Table1[[#This Row],[Total% (18-19)]]</f>
        <v>0</v>
      </c>
      <c r="DO54" s="1">
        <f>$CT54*Table1[[#This Row],[Female% (18-19)]]</f>
        <v>0</v>
      </c>
      <c r="DP54" s="1">
        <f>$CU54*Table1[[#This Row],[Male%(18-19)]]</f>
        <v>0</v>
      </c>
      <c r="DQ54" s="1">
        <f>$AF54*Table1[[#This Row],[Total% (20-24)]]</f>
        <v>0</v>
      </c>
      <c r="DR54" s="1">
        <f>$CT54*Table1[[#This Row],[Female% (20-24)]]</f>
        <v>0</v>
      </c>
      <c r="DS54" s="1">
        <f>$CU54*Table1[[#This Row],[Male% (20-24)]]</f>
        <v>0</v>
      </c>
      <c r="DT54" s="1">
        <f>$AF54*Table1[[#This Row],[Total% (25-29)]]</f>
        <v>0</v>
      </c>
      <c r="DU54" s="1">
        <f>$CT54*Table1[[#This Row],[Female% (25-29)]]</f>
        <v>0</v>
      </c>
      <c r="DV54" s="1">
        <f>$CU54*Table1[[#This Row],[Male% (25-29)]]</f>
        <v>0</v>
      </c>
      <c r="DW54" s="1">
        <f>$AF54*Table1[[#This Row],[Total%   (30-34)]]</f>
        <v>0</v>
      </c>
      <c r="DX54" s="1">
        <f>$CT54*Table1[[#This Row],[Female%   (30-34)]]</f>
        <v>0</v>
      </c>
      <c r="DY54" s="1">
        <f>$CU54*Table1[[#This Row],[Male%  (30-34)]]</f>
        <v>0</v>
      </c>
      <c r="DZ54" s="1">
        <f>$AF54*Table1[[#This Row],[Total% (35-39)]]</f>
        <v>0</v>
      </c>
      <c r="EA54" s="1">
        <f>$CT54*Table1[[#This Row],[Female% (35-39)]]</f>
        <v>0</v>
      </c>
      <c r="EB54" s="1">
        <f>$CU54*Table1[[#This Row],[Male% (35-39)]]</f>
        <v>0</v>
      </c>
      <c r="EC54" s="1">
        <f>$AF54*Table1[[#This Row],[Total% (40-44)]]</f>
        <v>0</v>
      </c>
      <c r="ED54" s="1">
        <f>$CT54*Table1[[#This Row],[Female% (40-44)]]</f>
        <v>0</v>
      </c>
      <c r="EE54" s="1">
        <f>$CU54*Table1[[#This Row],[Male%(55-59)]]</f>
        <v>0</v>
      </c>
      <c r="EF54" s="1">
        <f>$AF54*Table1[[#This Row],[Total% (45-49)]]</f>
        <v>0</v>
      </c>
      <c r="EG54" s="1">
        <f>$CT54*Table1[[#This Row],[Female% (45-49)]]</f>
        <v>0</v>
      </c>
      <c r="EH54" s="1">
        <f>$CU54*Table1[[#This Row],[Male% (45-49)]]</f>
        <v>0</v>
      </c>
      <c r="EI54" s="1">
        <f>$AF54*Table1[[#This Row],[Total% (50-54)]]</f>
        <v>0</v>
      </c>
      <c r="EJ54" s="1">
        <f>$CT54*Table1[[#This Row],[Female%(50-54)]]</f>
        <v>0</v>
      </c>
      <c r="EK54" s="1">
        <f>$CU54*Table1[[#This Row],[Male% (50-54)]]</f>
        <v>0</v>
      </c>
      <c r="EL54" s="1">
        <f>$AF54*Table1[[#This Row],[Total% (55-59)]]</f>
        <v>0</v>
      </c>
      <c r="EM54" s="1">
        <f>$CT54*Table1[[#This Row],[Female% (55-59)]]</f>
        <v>0</v>
      </c>
      <c r="EN54" s="1">
        <f>$CU54*Table1[[#This Row],[Male% (55-59)]]</f>
        <v>0</v>
      </c>
      <c r="EO54" s="1">
        <f>$AF54*Table1[[#This Row],[Total% (60-64)]]</f>
        <v>0</v>
      </c>
      <c r="EP54" s="1">
        <f>$CT54*Table1[[#This Row],[Female%(60-64)]]</f>
        <v>0</v>
      </c>
      <c r="EQ54" s="1">
        <f>$CU54*Table1[[#This Row],[Male%(60-64)]]</f>
        <v>0</v>
      </c>
      <c r="ER54" s="1">
        <f>$AF54*Table1[[#This Row],[Total% (&gt;=65)]]</f>
        <v>0</v>
      </c>
      <c r="ES54" s="1">
        <f>$CT54*Table1[[#This Row],[Female%(&gt;=65)]]</f>
        <v>0</v>
      </c>
      <c r="ET54" s="1">
        <f>$CU54*Table1[[#This Row],[Male% (&gt;=65)]]</f>
        <v>0</v>
      </c>
    </row>
    <row r="55" spans="1:150" hidden="1" x14ac:dyDescent="0.35">
      <c r="A55" t="s">
        <v>104</v>
      </c>
      <c r="B55" t="s">
        <v>105</v>
      </c>
      <c r="C55" t="s">
        <v>153</v>
      </c>
      <c r="D55" t="s">
        <v>154</v>
      </c>
      <c r="E55" t="s">
        <v>245</v>
      </c>
      <c r="F55" t="s">
        <v>246</v>
      </c>
      <c r="H55">
        <v>4</v>
      </c>
      <c r="I55" s="1">
        <v>0</v>
      </c>
      <c r="J55" s="1">
        <v>0</v>
      </c>
      <c r="K55" s="1">
        <v>11028</v>
      </c>
      <c r="L55" s="1">
        <v>1470</v>
      </c>
      <c r="M55" s="1">
        <v>2206</v>
      </c>
      <c r="N55" s="1">
        <v>14704</v>
      </c>
      <c r="O55" s="3">
        <v>1</v>
      </c>
      <c r="P55" s="3">
        <v>0</v>
      </c>
      <c r="Q55" s="3">
        <v>0</v>
      </c>
      <c r="R55" s="3">
        <v>0</v>
      </c>
      <c r="S55" s="3">
        <v>0</v>
      </c>
      <c r="T55" s="1">
        <v>14704</v>
      </c>
      <c r="U55" s="1">
        <v>0</v>
      </c>
      <c r="V55" s="10">
        <f>Table1[[#This Row],[Pop NW+RATAA]]*Table1[[#This Row],[Perc_pop_Northern_Aleppo]]</f>
        <v>0</v>
      </c>
      <c r="W55" s="10">
        <f>Table1[[#This Row],[Pop NW+RATAA]]*Table1[[#This Row],[Perc_pop_Afrin District]]</f>
        <v>0</v>
      </c>
      <c r="X55" s="10">
        <f>Table1[[#This Row],[Pop NW+RATAA]]*Table1[[#This Row],[Perc_pop_Euphrates Shiled]]</f>
        <v>0</v>
      </c>
      <c r="Y55" s="10">
        <f>Table1[[#This Row],[Pop NW+RATAA]]*Table1[[#This Row],[Perc_Pop_Idleb_NSAG]]</f>
        <v>0</v>
      </c>
      <c r="Z55" s="3">
        <v>0</v>
      </c>
      <c r="AA55" s="3">
        <v>0</v>
      </c>
      <c r="AB55" s="3">
        <v>0</v>
      </c>
      <c r="AC55" s="3">
        <v>0</v>
      </c>
      <c r="AD55" s="1">
        <v>14704</v>
      </c>
      <c r="AE55" s="1">
        <v>0</v>
      </c>
      <c r="AF55" s="1">
        <v>0</v>
      </c>
      <c r="AG55" s="1">
        <v>0</v>
      </c>
      <c r="AH55" s="1">
        <v>0</v>
      </c>
      <c r="AI55" s="1">
        <f>Table1[[#This Row],[NWS_pin]]*Table1[[#This Row],[Perc_pop_Northern_Aleppo]]</f>
        <v>0</v>
      </c>
      <c r="AJ55" s="1">
        <f>Table1[[#This Row],[NWS_pin]]*Table1[[#This Row],[Perc_pop_Afrin District]]</f>
        <v>0</v>
      </c>
      <c r="AK55" s="1">
        <f>Table1[[#This Row],[NWS_pin]]*Table1[[#This Row],[Perc_pop_Euphrates Shiled]]</f>
        <v>0</v>
      </c>
      <c r="AL55" s="1">
        <f>Table1[[#This Row],[NWS_pin]]*Table1[[#This Row],[Perc_Pop_Idleb_NSAG]]</f>
        <v>0</v>
      </c>
      <c r="AM55" s="4">
        <v>0.53427315292543898</v>
      </c>
      <c r="AN55" s="4">
        <v>0.46572684707456102</v>
      </c>
      <c r="AO55" s="4">
        <v>0.381335817805383</v>
      </c>
      <c r="AP55" s="4">
        <v>0.29278774250546602</v>
      </c>
      <c r="AQ55" s="4">
        <v>0.56301126631453002</v>
      </c>
      <c r="AR55" s="4">
        <v>3.4566563413035503E-2</v>
      </c>
      <c r="AS55" s="4">
        <v>0</v>
      </c>
      <c r="AT55" s="4">
        <v>0.10963442776696899</v>
      </c>
      <c r="AU55" s="4">
        <v>4.5725808005315102E-2</v>
      </c>
      <c r="AV55" s="4">
        <v>2.1355385376423099E-2</v>
      </c>
      <c r="AW55" s="4">
        <v>7.3683102324616306E-2</v>
      </c>
      <c r="AX55" s="4">
        <v>8.2207063687850995E-2</v>
      </c>
      <c r="AY55" s="4">
        <v>4.6221154637360803E-2</v>
      </c>
      <c r="AZ55" s="4">
        <v>0.123489427395382</v>
      </c>
      <c r="BA55" s="4">
        <v>5.1629770841298703E-2</v>
      </c>
      <c r="BB55" s="4">
        <v>5.8185013657643302E-2</v>
      </c>
      <c r="BC55" s="4">
        <v>4.4109718540943303E-2</v>
      </c>
      <c r="BD55" s="4">
        <v>6.1658582643448603E-2</v>
      </c>
      <c r="BE55" s="4">
        <v>3.27971094488584E-2</v>
      </c>
      <c r="BF55" s="4">
        <v>9.4767926411380696E-2</v>
      </c>
      <c r="BG55" s="4">
        <v>3.5448413597603499E-2</v>
      </c>
      <c r="BH55" s="4">
        <v>3.3600897396927697E-2</v>
      </c>
      <c r="BI55" s="4">
        <v>3.7567849725918298E-2</v>
      </c>
      <c r="BJ55" s="4">
        <v>5.25371830002467E-2</v>
      </c>
      <c r="BK55" s="4">
        <v>6.9791440800317003E-2</v>
      </c>
      <c r="BL55" s="4">
        <v>3.2743420252538902E-2</v>
      </c>
      <c r="BM55" s="4">
        <v>2.54774498999745E-2</v>
      </c>
      <c r="BN55" s="4">
        <v>3.2889503854114099E-2</v>
      </c>
      <c r="BO55" s="4">
        <v>1.6974479842296698E-2</v>
      </c>
      <c r="BP55" s="4">
        <v>6.3429746303464804E-2</v>
      </c>
      <c r="BQ55" s="4">
        <v>8.9827711686681397E-2</v>
      </c>
      <c r="BR55" s="4">
        <v>3.3146492751088399E-2</v>
      </c>
      <c r="BS55" s="4">
        <v>0.134893688464469</v>
      </c>
      <c r="BT55" s="4">
        <v>0.16649300202435999</v>
      </c>
      <c r="BU55" s="4">
        <v>9.8643545291556098E-2</v>
      </c>
      <c r="BV55" s="4">
        <v>0.10236772765390501</v>
      </c>
      <c r="BW55" s="4">
        <v>0.111847039223264</v>
      </c>
      <c r="BX55" s="4">
        <v>9.1493238215435604E-2</v>
      </c>
      <c r="BY55" s="4">
        <v>7.3471697615855994E-2</v>
      </c>
      <c r="BZ55" s="4">
        <v>7.8291292307287805E-2</v>
      </c>
      <c r="CA55" s="4">
        <v>6.7942748473695497E-2</v>
      </c>
      <c r="CB55" s="4">
        <v>7.2229540311412793E-2</v>
      </c>
      <c r="CC55" s="4">
        <v>7.65126387116037E-2</v>
      </c>
      <c r="CD55" s="4">
        <v>6.7316049708639997E-2</v>
      </c>
      <c r="CE55" s="4">
        <v>5.4895503409702902E-2</v>
      </c>
      <c r="CF55" s="4">
        <v>4.4943418658249502E-2</v>
      </c>
      <c r="CG55" s="4">
        <v>6.6312349425214995E-2</v>
      </c>
      <c r="CH55" s="4">
        <v>4.6248113613717598E-2</v>
      </c>
      <c r="CI55" s="4">
        <v>4.33256018635493E-2</v>
      </c>
      <c r="CJ55" s="4">
        <v>4.9600764587205602E-2</v>
      </c>
      <c r="CK55" s="4">
        <v>2.6864272809121698E-2</v>
      </c>
      <c r="CL55" s="4">
        <v>3.45436258601058E-2</v>
      </c>
      <c r="CM55" s="4">
        <v>1.8054662212805699E-2</v>
      </c>
      <c r="CN55" s="4">
        <v>2.5941816717052299E-2</v>
      </c>
      <c r="CO55" s="4">
        <v>2.7564896696774598E-2</v>
      </c>
      <c r="CP55" s="4">
        <v>2.40798496355677E-2</v>
      </c>
      <c r="CQ55" s="4">
        <v>4.4973621425559503E-2</v>
      </c>
      <c r="CR55" s="4">
        <v>3.1810267796479802E-2</v>
      </c>
      <c r="CS55" s="4">
        <v>6.0074375205714597E-2</v>
      </c>
      <c r="CT55" s="1">
        <f>Table1[[#This Row],[Female %]]*Table1[[#This Row],[NWS_pin]]</f>
        <v>0</v>
      </c>
      <c r="CU55" s="1">
        <f>Table1[[#This Row],[Male %]]*Table1[[#This Row],[NWS_pin]]</f>
        <v>0</v>
      </c>
      <c r="CV55" s="1">
        <f>Table1[[#This Row],[Female% (0-2)22]]+Table1[[#This Row],[Male%(0-2)3]]</f>
        <v>0</v>
      </c>
      <c r="CW55" s="1">
        <f>$CT55*Table1[[#This Row],[Female% (0-2)]]</f>
        <v>0</v>
      </c>
      <c r="CX55" s="1">
        <f>$CU55*Table1[[#This Row],[Male%(0-2)]]</f>
        <v>0</v>
      </c>
      <c r="CY55" s="1">
        <f>Table1[[#This Row],[Female%  (3-5)5]]+Table1[[#This Row],[Male% (3-5)6]]</f>
        <v>0</v>
      </c>
      <c r="CZ55" s="1">
        <f>$AF55*Table1[[#This Row],[Female%  (3-5)]]</f>
        <v>0</v>
      </c>
      <c r="DA55" s="1">
        <f>$CU55*Table1[[#This Row],[Male% (3-5)]]</f>
        <v>0</v>
      </c>
      <c r="DB55" s="1">
        <f>Table1[[#This Row],[Female% (6-8)8]]+Table1[[#This Row],[Male%(6-8)9]]</f>
        <v>0</v>
      </c>
      <c r="DC55" s="1">
        <f>$CT55*Table1[[#This Row],[Female% (6-8)]]</f>
        <v>0</v>
      </c>
      <c r="DD55" s="1">
        <f>$CU55*Table1[[#This Row],[Male%(6-8)]]</f>
        <v>0</v>
      </c>
      <c r="DE55" s="1">
        <f>Table1[[#This Row],[Female% (9 - 11)11]]+Table1[[#This Row],[Male% (9 - 11)12]]</f>
        <v>0</v>
      </c>
      <c r="DF55" s="1">
        <f>$CT55*Table1[[#This Row],[Female% (9 - 11)]]</f>
        <v>0</v>
      </c>
      <c r="DG55" s="1">
        <f>$CU55*Table1[[#This Row],[Male% (9 - 11)]]</f>
        <v>0</v>
      </c>
      <c r="DH55" s="1">
        <f>Table1[[#This Row],[Female% (12-14)14]]+Table1[[#This Row],[Male%(12-14)15]]</f>
        <v>0</v>
      </c>
      <c r="DI55" s="1">
        <f>$CT55*Table1[[#This Row],[Female% (12-14)]]</f>
        <v>0</v>
      </c>
      <c r="DJ55" s="1">
        <f>$CU55*Table1[[#This Row],[Male%(12-14)]]</f>
        <v>0</v>
      </c>
      <c r="DK55" s="1">
        <f>Table1[[#This Row],[Female% (15-17)17]]+Table1[[#This Row],[Male%(15-17)18]]</f>
        <v>0</v>
      </c>
      <c r="DL55" s="1">
        <f>$CT55*Table1[[#This Row],[Female% (15-17)]]</f>
        <v>0</v>
      </c>
      <c r="DM55" s="1">
        <f>$CU55*Table1[[#This Row],[Male%(15-17)]]</f>
        <v>0</v>
      </c>
      <c r="DN55" s="1">
        <f>$AF55*Table1[[#This Row],[Total% (18-19)]]</f>
        <v>0</v>
      </c>
      <c r="DO55" s="1">
        <f>$CT55*Table1[[#This Row],[Female% (18-19)]]</f>
        <v>0</v>
      </c>
      <c r="DP55" s="1">
        <f>$CU55*Table1[[#This Row],[Male%(18-19)]]</f>
        <v>0</v>
      </c>
      <c r="DQ55" s="1">
        <f>$AF55*Table1[[#This Row],[Total% (20-24)]]</f>
        <v>0</v>
      </c>
      <c r="DR55" s="1">
        <f>$CT55*Table1[[#This Row],[Female% (20-24)]]</f>
        <v>0</v>
      </c>
      <c r="DS55" s="1">
        <f>$CU55*Table1[[#This Row],[Male% (20-24)]]</f>
        <v>0</v>
      </c>
      <c r="DT55" s="1">
        <f>$AF55*Table1[[#This Row],[Total% (25-29)]]</f>
        <v>0</v>
      </c>
      <c r="DU55" s="1">
        <f>$CT55*Table1[[#This Row],[Female% (25-29)]]</f>
        <v>0</v>
      </c>
      <c r="DV55" s="1">
        <f>$CU55*Table1[[#This Row],[Male% (25-29)]]</f>
        <v>0</v>
      </c>
      <c r="DW55" s="1">
        <f>$AF55*Table1[[#This Row],[Total%   (30-34)]]</f>
        <v>0</v>
      </c>
      <c r="DX55" s="1">
        <f>$CT55*Table1[[#This Row],[Female%   (30-34)]]</f>
        <v>0</v>
      </c>
      <c r="DY55" s="1">
        <f>$CU55*Table1[[#This Row],[Male%  (30-34)]]</f>
        <v>0</v>
      </c>
      <c r="DZ55" s="1">
        <f>$AF55*Table1[[#This Row],[Total% (35-39)]]</f>
        <v>0</v>
      </c>
      <c r="EA55" s="1">
        <f>$CT55*Table1[[#This Row],[Female% (35-39)]]</f>
        <v>0</v>
      </c>
      <c r="EB55" s="1">
        <f>$CU55*Table1[[#This Row],[Male% (35-39)]]</f>
        <v>0</v>
      </c>
      <c r="EC55" s="1">
        <f>$AF55*Table1[[#This Row],[Total% (40-44)]]</f>
        <v>0</v>
      </c>
      <c r="ED55" s="1">
        <f>$CT55*Table1[[#This Row],[Female% (40-44)]]</f>
        <v>0</v>
      </c>
      <c r="EE55" s="1">
        <f>$CU55*Table1[[#This Row],[Male%(55-59)]]</f>
        <v>0</v>
      </c>
      <c r="EF55" s="1">
        <f>$AF55*Table1[[#This Row],[Total% (45-49)]]</f>
        <v>0</v>
      </c>
      <c r="EG55" s="1">
        <f>$CT55*Table1[[#This Row],[Female% (45-49)]]</f>
        <v>0</v>
      </c>
      <c r="EH55" s="1">
        <f>$CU55*Table1[[#This Row],[Male% (45-49)]]</f>
        <v>0</v>
      </c>
      <c r="EI55" s="1">
        <f>$AF55*Table1[[#This Row],[Total% (50-54)]]</f>
        <v>0</v>
      </c>
      <c r="EJ55" s="1">
        <f>$CT55*Table1[[#This Row],[Female%(50-54)]]</f>
        <v>0</v>
      </c>
      <c r="EK55" s="1">
        <f>$CU55*Table1[[#This Row],[Male% (50-54)]]</f>
        <v>0</v>
      </c>
      <c r="EL55" s="1">
        <f>$AF55*Table1[[#This Row],[Total% (55-59)]]</f>
        <v>0</v>
      </c>
      <c r="EM55" s="1">
        <f>$CT55*Table1[[#This Row],[Female% (55-59)]]</f>
        <v>0</v>
      </c>
      <c r="EN55" s="1">
        <f>$CU55*Table1[[#This Row],[Male% (55-59)]]</f>
        <v>0</v>
      </c>
      <c r="EO55" s="1">
        <f>$AF55*Table1[[#This Row],[Total% (60-64)]]</f>
        <v>0</v>
      </c>
      <c r="EP55" s="1">
        <f>$CT55*Table1[[#This Row],[Female%(60-64)]]</f>
        <v>0</v>
      </c>
      <c r="EQ55" s="1">
        <f>$CU55*Table1[[#This Row],[Male%(60-64)]]</f>
        <v>0</v>
      </c>
      <c r="ER55" s="1">
        <f>$AF55*Table1[[#This Row],[Total% (&gt;=65)]]</f>
        <v>0</v>
      </c>
      <c r="ES55" s="1">
        <f>$CT55*Table1[[#This Row],[Female%(&gt;=65)]]</f>
        <v>0</v>
      </c>
      <c r="ET55" s="1">
        <f>$CU55*Table1[[#This Row],[Male% (&gt;=65)]]</f>
        <v>0</v>
      </c>
    </row>
    <row r="56" spans="1:150" hidden="1" x14ac:dyDescent="0.35">
      <c r="A56" t="s">
        <v>104</v>
      </c>
      <c r="B56" t="s">
        <v>105</v>
      </c>
      <c r="C56" t="s">
        <v>153</v>
      </c>
      <c r="D56" t="s">
        <v>154</v>
      </c>
      <c r="E56" t="s">
        <v>425</v>
      </c>
      <c r="F56" t="s">
        <v>426</v>
      </c>
      <c r="H56">
        <v>3</v>
      </c>
      <c r="I56" s="1">
        <v>0</v>
      </c>
      <c r="J56" s="1">
        <v>0</v>
      </c>
      <c r="K56" s="1">
        <v>75163</v>
      </c>
      <c r="L56" s="1">
        <v>7109</v>
      </c>
      <c r="M56" s="1">
        <v>0</v>
      </c>
      <c r="N56" s="1">
        <v>82272</v>
      </c>
      <c r="O56" s="3">
        <v>1</v>
      </c>
      <c r="P56" s="3">
        <v>0</v>
      </c>
      <c r="Q56" s="3">
        <v>0</v>
      </c>
      <c r="R56" s="3">
        <v>0</v>
      </c>
      <c r="S56" s="3">
        <v>0</v>
      </c>
      <c r="T56" s="1">
        <v>82272</v>
      </c>
      <c r="U56" s="1">
        <v>0</v>
      </c>
      <c r="V56" s="10">
        <f>Table1[[#This Row],[Pop NW+RATAA]]*Table1[[#This Row],[Perc_pop_Northern_Aleppo]]</f>
        <v>0</v>
      </c>
      <c r="W56" s="10">
        <f>Table1[[#This Row],[Pop NW+RATAA]]*Table1[[#This Row],[Perc_pop_Afrin District]]</f>
        <v>0</v>
      </c>
      <c r="X56" s="10">
        <f>Table1[[#This Row],[Pop NW+RATAA]]*Table1[[#This Row],[Perc_pop_Euphrates Shiled]]</f>
        <v>0</v>
      </c>
      <c r="Y56" s="10">
        <f>Table1[[#This Row],[Pop NW+RATAA]]*Table1[[#This Row],[Perc_Pop_Idleb_NSAG]]</f>
        <v>0</v>
      </c>
      <c r="Z56" s="3">
        <v>0</v>
      </c>
      <c r="AA56" s="3">
        <v>0</v>
      </c>
      <c r="AB56" s="3">
        <v>0</v>
      </c>
      <c r="AC56" s="3">
        <v>0</v>
      </c>
      <c r="AD56" s="1">
        <v>82272</v>
      </c>
      <c r="AE56" s="1">
        <v>0</v>
      </c>
      <c r="AF56" s="1">
        <v>0</v>
      </c>
      <c r="AG56" s="1">
        <v>0</v>
      </c>
      <c r="AH56" s="1">
        <v>0</v>
      </c>
      <c r="AI56" s="1">
        <f>Table1[[#This Row],[NWS_pin]]*Table1[[#This Row],[Perc_pop_Northern_Aleppo]]</f>
        <v>0</v>
      </c>
      <c r="AJ56" s="1">
        <f>Table1[[#This Row],[NWS_pin]]*Table1[[#This Row],[Perc_pop_Afrin District]]</f>
        <v>0</v>
      </c>
      <c r="AK56" s="1">
        <f>Table1[[#This Row],[NWS_pin]]*Table1[[#This Row],[Perc_pop_Euphrates Shiled]]</f>
        <v>0</v>
      </c>
      <c r="AL56" s="1">
        <f>Table1[[#This Row],[NWS_pin]]*Table1[[#This Row],[Perc_Pop_Idleb_NSAG]]</f>
        <v>0</v>
      </c>
      <c r="AM56" s="4">
        <v>0.60756095757077999</v>
      </c>
      <c r="AN56" s="4">
        <v>0.39243904242922001</v>
      </c>
      <c r="AO56" s="4">
        <v>0.149084297813844</v>
      </c>
      <c r="AP56" s="4">
        <v>0.38089628716145202</v>
      </c>
      <c r="AQ56" s="4">
        <v>0.50044740659828202</v>
      </c>
      <c r="AR56" s="4">
        <v>4.8211619563793703E-2</v>
      </c>
      <c r="AS56" s="4">
        <v>0</v>
      </c>
      <c r="AT56" s="4">
        <v>7.0444686676472398E-2</v>
      </c>
      <c r="AU56" s="4">
        <v>3.0755199863836201E-2</v>
      </c>
      <c r="AV56" s="4">
        <v>2.09996856992287E-2</v>
      </c>
      <c r="AW56" s="4">
        <v>4.5858359556499098E-2</v>
      </c>
      <c r="AX56" s="4">
        <v>5.3825684750723003E-2</v>
      </c>
      <c r="AY56" s="4">
        <v>6.2575886527267005E-2</v>
      </c>
      <c r="AZ56" s="4">
        <v>4.0278915964960603E-2</v>
      </c>
      <c r="BA56" s="4">
        <v>6.8163877768952594E-2</v>
      </c>
      <c r="BB56" s="4">
        <v>6.8163223297702094E-2</v>
      </c>
      <c r="BC56" s="4">
        <v>6.8164890999382499E-2</v>
      </c>
      <c r="BD56" s="4">
        <v>8.0095946825919306E-2</v>
      </c>
      <c r="BE56" s="4">
        <v>6.2911870995093599E-2</v>
      </c>
      <c r="BF56" s="4">
        <v>0.106699756431913</v>
      </c>
      <c r="BG56" s="4">
        <v>5.6768459731929503E-2</v>
      </c>
      <c r="BH56" s="4">
        <v>6.1654729453215297E-2</v>
      </c>
      <c r="BI56" s="4">
        <v>4.9203700903559501E-2</v>
      </c>
      <c r="BJ56" s="4">
        <v>6.2935877051938899E-2</v>
      </c>
      <c r="BK56" s="4">
        <v>6.4564180982675995E-2</v>
      </c>
      <c r="BL56" s="4">
        <v>6.0414991542558603E-2</v>
      </c>
      <c r="BM56" s="4">
        <v>3.1777475374340197E-2</v>
      </c>
      <c r="BN56" s="4">
        <v>2.91556891670611E-2</v>
      </c>
      <c r="BO56" s="4">
        <v>3.5836436808911597E-2</v>
      </c>
      <c r="BP56" s="4">
        <v>5.5591060580804597E-2</v>
      </c>
      <c r="BQ56" s="4">
        <v>6.4522536797202407E-2</v>
      </c>
      <c r="BR56" s="4">
        <v>4.1763648789751702E-2</v>
      </c>
      <c r="BS56" s="4">
        <v>8.0228137194907401E-2</v>
      </c>
      <c r="BT56" s="4">
        <v>0.10501510668470999</v>
      </c>
      <c r="BU56" s="4">
        <v>4.1853782733937903E-2</v>
      </c>
      <c r="BV56" s="4">
        <v>7.4953559501756695E-2</v>
      </c>
      <c r="BW56" s="4">
        <v>7.6230604656546103E-2</v>
      </c>
      <c r="BX56" s="4">
        <v>7.2976481043145094E-2</v>
      </c>
      <c r="BY56" s="4">
        <v>6.6806751565139696E-2</v>
      </c>
      <c r="BZ56" s="4">
        <v>7.9394147260527501E-2</v>
      </c>
      <c r="CA56" s="4">
        <v>4.73193679076091E-2</v>
      </c>
      <c r="CB56" s="4">
        <v>9.5833455789525596E-2</v>
      </c>
      <c r="CC56" s="4">
        <v>9.4035524869876805E-2</v>
      </c>
      <c r="CD56" s="4">
        <v>9.8616952111466996E-2</v>
      </c>
      <c r="CE56" s="4">
        <v>4.8858649708409703E-2</v>
      </c>
      <c r="CF56" s="4">
        <v>3.69928581863063E-2</v>
      </c>
      <c r="CG56" s="4">
        <v>6.7228869997601803E-2</v>
      </c>
      <c r="CH56" s="4">
        <v>5.5715747781573698E-2</v>
      </c>
      <c r="CI56" s="4">
        <v>4.2018531826650801E-2</v>
      </c>
      <c r="CJ56" s="4">
        <v>7.6921317925954996E-2</v>
      </c>
      <c r="CK56" s="4">
        <v>4.3324215612936402E-2</v>
      </c>
      <c r="CL56" s="4">
        <v>3.5337819786572099E-2</v>
      </c>
      <c r="CM56" s="4">
        <v>5.5688485655411499E-2</v>
      </c>
      <c r="CN56" s="4">
        <v>2.60163758017391E-2</v>
      </c>
      <c r="CO56" s="4">
        <v>2.60800506688703E-2</v>
      </c>
      <c r="CP56" s="4">
        <v>2.5917796508996099E-2</v>
      </c>
      <c r="CQ56" s="4">
        <v>6.8349525095567507E-2</v>
      </c>
      <c r="CR56" s="4">
        <v>7.0347553140493596E-2</v>
      </c>
      <c r="CS56" s="4">
        <v>6.5256245118340203E-2</v>
      </c>
      <c r="CT56" s="1">
        <f>Table1[[#This Row],[Female %]]*Table1[[#This Row],[NWS_pin]]</f>
        <v>0</v>
      </c>
      <c r="CU56" s="1">
        <f>Table1[[#This Row],[Male %]]*Table1[[#This Row],[NWS_pin]]</f>
        <v>0</v>
      </c>
      <c r="CV56" s="1">
        <f>Table1[[#This Row],[Female% (0-2)22]]+Table1[[#This Row],[Male%(0-2)3]]</f>
        <v>0</v>
      </c>
      <c r="CW56" s="1">
        <f>$CT56*Table1[[#This Row],[Female% (0-2)]]</f>
        <v>0</v>
      </c>
      <c r="CX56" s="1">
        <f>$CU56*Table1[[#This Row],[Male%(0-2)]]</f>
        <v>0</v>
      </c>
      <c r="CY56" s="1">
        <f>Table1[[#This Row],[Female%  (3-5)5]]+Table1[[#This Row],[Male% (3-5)6]]</f>
        <v>0</v>
      </c>
      <c r="CZ56" s="1">
        <f>$AF56*Table1[[#This Row],[Female%  (3-5)]]</f>
        <v>0</v>
      </c>
      <c r="DA56" s="1">
        <f>$CU56*Table1[[#This Row],[Male% (3-5)]]</f>
        <v>0</v>
      </c>
      <c r="DB56" s="1">
        <f>Table1[[#This Row],[Female% (6-8)8]]+Table1[[#This Row],[Male%(6-8)9]]</f>
        <v>0</v>
      </c>
      <c r="DC56" s="1">
        <f>$CT56*Table1[[#This Row],[Female% (6-8)]]</f>
        <v>0</v>
      </c>
      <c r="DD56" s="1">
        <f>$CU56*Table1[[#This Row],[Male%(6-8)]]</f>
        <v>0</v>
      </c>
      <c r="DE56" s="1">
        <f>Table1[[#This Row],[Female% (9 - 11)11]]+Table1[[#This Row],[Male% (9 - 11)12]]</f>
        <v>0</v>
      </c>
      <c r="DF56" s="1">
        <f>$CT56*Table1[[#This Row],[Female% (9 - 11)]]</f>
        <v>0</v>
      </c>
      <c r="DG56" s="1">
        <f>$CU56*Table1[[#This Row],[Male% (9 - 11)]]</f>
        <v>0</v>
      </c>
      <c r="DH56" s="1">
        <f>Table1[[#This Row],[Female% (12-14)14]]+Table1[[#This Row],[Male%(12-14)15]]</f>
        <v>0</v>
      </c>
      <c r="DI56" s="1">
        <f>$CT56*Table1[[#This Row],[Female% (12-14)]]</f>
        <v>0</v>
      </c>
      <c r="DJ56" s="1">
        <f>$CU56*Table1[[#This Row],[Male%(12-14)]]</f>
        <v>0</v>
      </c>
      <c r="DK56" s="1">
        <f>Table1[[#This Row],[Female% (15-17)17]]+Table1[[#This Row],[Male%(15-17)18]]</f>
        <v>0</v>
      </c>
      <c r="DL56" s="1">
        <f>$CT56*Table1[[#This Row],[Female% (15-17)]]</f>
        <v>0</v>
      </c>
      <c r="DM56" s="1">
        <f>$CU56*Table1[[#This Row],[Male%(15-17)]]</f>
        <v>0</v>
      </c>
      <c r="DN56" s="1">
        <f>$AF56*Table1[[#This Row],[Total% (18-19)]]</f>
        <v>0</v>
      </c>
      <c r="DO56" s="1">
        <f>$CT56*Table1[[#This Row],[Female% (18-19)]]</f>
        <v>0</v>
      </c>
      <c r="DP56" s="1">
        <f>$CU56*Table1[[#This Row],[Male%(18-19)]]</f>
        <v>0</v>
      </c>
      <c r="DQ56" s="1">
        <f>$AF56*Table1[[#This Row],[Total% (20-24)]]</f>
        <v>0</v>
      </c>
      <c r="DR56" s="1">
        <f>$CT56*Table1[[#This Row],[Female% (20-24)]]</f>
        <v>0</v>
      </c>
      <c r="DS56" s="1">
        <f>$CU56*Table1[[#This Row],[Male% (20-24)]]</f>
        <v>0</v>
      </c>
      <c r="DT56" s="1">
        <f>$AF56*Table1[[#This Row],[Total% (25-29)]]</f>
        <v>0</v>
      </c>
      <c r="DU56" s="1">
        <f>$CT56*Table1[[#This Row],[Female% (25-29)]]</f>
        <v>0</v>
      </c>
      <c r="DV56" s="1">
        <f>$CU56*Table1[[#This Row],[Male% (25-29)]]</f>
        <v>0</v>
      </c>
      <c r="DW56" s="1">
        <f>$AF56*Table1[[#This Row],[Total%   (30-34)]]</f>
        <v>0</v>
      </c>
      <c r="DX56" s="1">
        <f>$CT56*Table1[[#This Row],[Female%   (30-34)]]</f>
        <v>0</v>
      </c>
      <c r="DY56" s="1">
        <f>$CU56*Table1[[#This Row],[Male%  (30-34)]]</f>
        <v>0</v>
      </c>
      <c r="DZ56" s="1">
        <f>$AF56*Table1[[#This Row],[Total% (35-39)]]</f>
        <v>0</v>
      </c>
      <c r="EA56" s="1">
        <f>$CT56*Table1[[#This Row],[Female% (35-39)]]</f>
        <v>0</v>
      </c>
      <c r="EB56" s="1">
        <f>$CU56*Table1[[#This Row],[Male% (35-39)]]</f>
        <v>0</v>
      </c>
      <c r="EC56" s="1">
        <f>$AF56*Table1[[#This Row],[Total% (40-44)]]</f>
        <v>0</v>
      </c>
      <c r="ED56" s="1">
        <f>$CT56*Table1[[#This Row],[Female% (40-44)]]</f>
        <v>0</v>
      </c>
      <c r="EE56" s="1">
        <f>$CU56*Table1[[#This Row],[Male%(55-59)]]</f>
        <v>0</v>
      </c>
      <c r="EF56" s="1">
        <f>$AF56*Table1[[#This Row],[Total% (45-49)]]</f>
        <v>0</v>
      </c>
      <c r="EG56" s="1">
        <f>$CT56*Table1[[#This Row],[Female% (45-49)]]</f>
        <v>0</v>
      </c>
      <c r="EH56" s="1">
        <f>$CU56*Table1[[#This Row],[Male% (45-49)]]</f>
        <v>0</v>
      </c>
      <c r="EI56" s="1">
        <f>$AF56*Table1[[#This Row],[Total% (50-54)]]</f>
        <v>0</v>
      </c>
      <c r="EJ56" s="1">
        <f>$CT56*Table1[[#This Row],[Female%(50-54)]]</f>
        <v>0</v>
      </c>
      <c r="EK56" s="1">
        <f>$CU56*Table1[[#This Row],[Male% (50-54)]]</f>
        <v>0</v>
      </c>
      <c r="EL56" s="1">
        <f>$AF56*Table1[[#This Row],[Total% (55-59)]]</f>
        <v>0</v>
      </c>
      <c r="EM56" s="1">
        <f>$CT56*Table1[[#This Row],[Female% (55-59)]]</f>
        <v>0</v>
      </c>
      <c r="EN56" s="1">
        <f>$CU56*Table1[[#This Row],[Male% (55-59)]]</f>
        <v>0</v>
      </c>
      <c r="EO56" s="1">
        <f>$AF56*Table1[[#This Row],[Total% (60-64)]]</f>
        <v>0</v>
      </c>
      <c r="EP56" s="1">
        <f>$CT56*Table1[[#This Row],[Female%(60-64)]]</f>
        <v>0</v>
      </c>
      <c r="EQ56" s="1">
        <f>$CU56*Table1[[#This Row],[Male%(60-64)]]</f>
        <v>0</v>
      </c>
      <c r="ER56" s="1">
        <f>$AF56*Table1[[#This Row],[Total% (&gt;=65)]]</f>
        <v>0</v>
      </c>
      <c r="ES56" s="1">
        <f>$CT56*Table1[[#This Row],[Female%(&gt;=65)]]</f>
        <v>0</v>
      </c>
      <c r="ET56" s="1">
        <f>$CU56*Table1[[#This Row],[Male% (&gt;=65)]]</f>
        <v>0</v>
      </c>
    </row>
    <row r="57" spans="1:150" hidden="1" x14ac:dyDescent="0.35">
      <c r="A57" t="s">
        <v>104</v>
      </c>
      <c r="B57" t="s">
        <v>105</v>
      </c>
      <c r="C57" t="s">
        <v>153</v>
      </c>
      <c r="D57" t="s">
        <v>154</v>
      </c>
      <c r="E57" t="s">
        <v>399</v>
      </c>
      <c r="F57" t="s">
        <v>400</v>
      </c>
      <c r="H57">
        <v>4</v>
      </c>
      <c r="I57" s="1">
        <v>0</v>
      </c>
      <c r="J57" s="1">
        <v>0</v>
      </c>
      <c r="K57" s="1">
        <v>3625</v>
      </c>
      <c r="L57" s="1">
        <v>34285</v>
      </c>
      <c r="M57" s="1">
        <v>0</v>
      </c>
      <c r="N57" s="1">
        <v>37910</v>
      </c>
      <c r="O57" s="3">
        <v>1</v>
      </c>
      <c r="P57" s="3">
        <v>0</v>
      </c>
      <c r="Q57" s="3">
        <v>0</v>
      </c>
      <c r="R57" s="3">
        <v>0</v>
      </c>
      <c r="S57" s="3">
        <v>0</v>
      </c>
      <c r="T57" s="1">
        <v>37910</v>
      </c>
      <c r="U57" s="1">
        <v>0</v>
      </c>
      <c r="V57" s="10">
        <f>Table1[[#This Row],[Pop NW+RATAA]]*Table1[[#This Row],[Perc_pop_Northern_Aleppo]]</f>
        <v>0</v>
      </c>
      <c r="W57" s="10">
        <f>Table1[[#This Row],[Pop NW+RATAA]]*Table1[[#This Row],[Perc_pop_Afrin District]]</f>
        <v>0</v>
      </c>
      <c r="X57" s="10">
        <f>Table1[[#This Row],[Pop NW+RATAA]]*Table1[[#This Row],[Perc_pop_Euphrates Shiled]]</f>
        <v>0</v>
      </c>
      <c r="Y57" s="10">
        <f>Table1[[#This Row],[Pop NW+RATAA]]*Table1[[#This Row],[Perc_Pop_Idleb_NSAG]]</f>
        <v>0</v>
      </c>
      <c r="Z57" s="3">
        <v>0</v>
      </c>
      <c r="AA57" s="3">
        <v>0</v>
      </c>
      <c r="AB57" s="3">
        <v>0</v>
      </c>
      <c r="AC57" s="3">
        <v>0</v>
      </c>
      <c r="AD57" s="1">
        <v>37910</v>
      </c>
      <c r="AE57" s="1">
        <v>0</v>
      </c>
      <c r="AF57" s="1">
        <v>0</v>
      </c>
      <c r="AG57" s="1">
        <v>0</v>
      </c>
      <c r="AH57" s="1">
        <v>0</v>
      </c>
      <c r="AI57" s="1">
        <f>Table1[[#This Row],[NWS_pin]]*Table1[[#This Row],[Perc_pop_Northern_Aleppo]]</f>
        <v>0</v>
      </c>
      <c r="AJ57" s="1">
        <f>Table1[[#This Row],[NWS_pin]]*Table1[[#This Row],[Perc_pop_Afrin District]]</f>
        <v>0</v>
      </c>
      <c r="AK57" s="1">
        <f>Table1[[#This Row],[NWS_pin]]*Table1[[#This Row],[Perc_pop_Euphrates Shiled]]</f>
        <v>0</v>
      </c>
      <c r="AL57" s="1">
        <f>Table1[[#This Row],[NWS_pin]]*Table1[[#This Row],[Perc_Pop_Idleb_NSAG]]</f>
        <v>0</v>
      </c>
      <c r="AM57" s="4">
        <v>0.478386542117202</v>
      </c>
      <c r="AN57" s="4">
        <v>0.521613457882798</v>
      </c>
      <c r="AO57" s="4">
        <v>0.254786924710242</v>
      </c>
      <c r="AP57" s="4">
        <v>0.45686908267849302</v>
      </c>
      <c r="AQ57" s="4">
        <v>0.48386457465744898</v>
      </c>
      <c r="AR57" s="4">
        <v>8.8425594914770308E-3</v>
      </c>
      <c r="AS57" s="4">
        <v>0</v>
      </c>
      <c r="AT57" s="4">
        <v>5.0423783172581199E-2</v>
      </c>
      <c r="AU57" s="4">
        <v>3.7794881365392101E-2</v>
      </c>
      <c r="AV57" s="4">
        <v>2.8230644530368401E-2</v>
      </c>
      <c r="AW57" s="4">
        <v>4.6566515069147003E-2</v>
      </c>
      <c r="AX57" s="4">
        <v>7.6580354832936195E-2</v>
      </c>
      <c r="AY57" s="4">
        <v>6.9642407134367396E-2</v>
      </c>
      <c r="AZ57" s="4">
        <v>8.2943344051772699E-2</v>
      </c>
      <c r="BA57" s="4">
        <v>9.8792233357566303E-2</v>
      </c>
      <c r="BB57" s="4">
        <v>0.106310509350505</v>
      </c>
      <c r="BC57" s="4">
        <v>9.1897008549634396E-2</v>
      </c>
      <c r="BD57" s="4">
        <v>0.101505748352495</v>
      </c>
      <c r="BE57" s="4">
        <v>9.7283355838235497E-2</v>
      </c>
      <c r="BF57" s="4">
        <v>0.105378224654308</v>
      </c>
      <c r="BG57" s="4">
        <v>7.6892427613031805E-2</v>
      </c>
      <c r="BH57" s="4">
        <v>6.0302363390855603E-2</v>
      </c>
      <c r="BI57" s="4">
        <v>9.21076474981989E-2</v>
      </c>
      <c r="BJ57" s="4">
        <v>8.2773396981935699E-2</v>
      </c>
      <c r="BK57" s="4">
        <v>5.6649352310169002E-2</v>
      </c>
      <c r="BL57" s="4">
        <v>0.10673250157898399</v>
      </c>
      <c r="BM57" s="4">
        <v>3.1935785205759702E-2</v>
      </c>
      <c r="BN57" s="4">
        <v>4.6306813907653399E-2</v>
      </c>
      <c r="BO57" s="4">
        <v>1.8755705927761601E-2</v>
      </c>
      <c r="BP57" s="4">
        <v>7.1700323762857801E-2</v>
      </c>
      <c r="BQ57" s="4">
        <v>7.3594086163058306E-2</v>
      </c>
      <c r="BR57" s="4">
        <v>6.9963500388129804E-2</v>
      </c>
      <c r="BS57" s="4">
        <v>6.5773527490210107E-2</v>
      </c>
      <c r="BT57" s="4">
        <v>9.7058620255164194E-2</v>
      </c>
      <c r="BU57" s="4">
        <v>3.7081078855180499E-2</v>
      </c>
      <c r="BV57" s="4">
        <v>8.7477149103257407E-2</v>
      </c>
      <c r="BW57" s="4">
        <v>8.0799376946454601E-2</v>
      </c>
      <c r="BX57" s="4">
        <v>9.3601523930751301E-2</v>
      </c>
      <c r="BY57" s="4">
        <v>9.8955017267183698E-2</v>
      </c>
      <c r="BZ57" s="4">
        <v>0.12919439815998901</v>
      </c>
      <c r="CA57" s="4">
        <v>7.1221620740584496E-2</v>
      </c>
      <c r="CB57" s="4">
        <v>6.3667008109900003E-2</v>
      </c>
      <c r="CC57" s="4">
        <v>4.5602987196654003E-2</v>
      </c>
      <c r="CD57" s="4">
        <v>8.0234035610487003E-2</v>
      </c>
      <c r="CE57" s="4">
        <v>3.2906472125181302E-2</v>
      </c>
      <c r="CF57" s="4">
        <v>4.5257773594415303E-2</v>
      </c>
      <c r="CG57" s="4">
        <v>2.15787421534566E-2</v>
      </c>
      <c r="CH57" s="4">
        <v>3.61572021365121E-2</v>
      </c>
      <c r="CI57" s="4">
        <v>2.0215858997698101E-2</v>
      </c>
      <c r="CJ57" s="4">
        <v>5.07774614600255E-2</v>
      </c>
      <c r="CK57" s="4">
        <v>9.7832286240126295E-3</v>
      </c>
      <c r="CL57" s="4">
        <v>1.0107929498849101E-2</v>
      </c>
      <c r="CM57" s="4">
        <v>9.4854362139664902E-3</v>
      </c>
      <c r="CN57" s="4">
        <v>1.04172143169095E-2</v>
      </c>
      <c r="CO57" s="4">
        <v>2.1775726112206E-2</v>
      </c>
      <c r="CP57" s="4">
        <v>0</v>
      </c>
      <c r="CQ57" s="4">
        <v>1.6888029354858999E-2</v>
      </c>
      <c r="CR57" s="4">
        <v>1.1667796613357E-2</v>
      </c>
      <c r="CS57" s="4">
        <v>2.1675653317611902E-2</v>
      </c>
      <c r="CT57" s="1">
        <f>Table1[[#This Row],[Female %]]*Table1[[#This Row],[NWS_pin]]</f>
        <v>0</v>
      </c>
      <c r="CU57" s="1">
        <f>Table1[[#This Row],[Male %]]*Table1[[#This Row],[NWS_pin]]</f>
        <v>0</v>
      </c>
      <c r="CV57" s="1">
        <f>Table1[[#This Row],[Female% (0-2)22]]+Table1[[#This Row],[Male%(0-2)3]]</f>
        <v>0</v>
      </c>
      <c r="CW57" s="1">
        <f>$CT57*Table1[[#This Row],[Female% (0-2)]]</f>
        <v>0</v>
      </c>
      <c r="CX57" s="1">
        <f>$CU57*Table1[[#This Row],[Male%(0-2)]]</f>
        <v>0</v>
      </c>
      <c r="CY57" s="1">
        <f>Table1[[#This Row],[Female%  (3-5)5]]+Table1[[#This Row],[Male% (3-5)6]]</f>
        <v>0</v>
      </c>
      <c r="CZ57" s="1">
        <f>$AF57*Table1[[#This Row],[Female%  (3-5)]]</f>
        <v>0</v>
      </c>
      <c r="DA57" s="1">
        <f>$CU57*Table1[[#This Row],[Male% (3-5)]]</f>
        <v>0</v>
      </c>
      <c r="DB57" s="1">
        <f>Table1[[#This Row],[Female% (6-8)8]]+Table1[[#This Row],[Male%(6-8)9]]</f>
        <v>0</v>
      </c>
      <c r="DC57" s="1">
        <f>$CT57*Table1[[#This Row],[Female% (6-8)]]</f>
        <v>0</v>
      </c>
      <c r="DD57" s="1">
        <f>$CU57*Table1[[#This Row],[Male%(6-8)]]</f>
        <v>0</v>
      </c>
      <c r="DE57" s="1">
        <f>Table1[[#This Row],[Female% (9 - 11)11]]+Table1[[#This Row],[Male% (9 - 11)12]]</f>
        <v>0</v>
      </c>
      <c r="DF57" s="1">
        <f>$CT57*Table1[[#This Row],[Female% (9 - 11)]]</f>
        <v>0</v>
      </c>
      <c r="DG57" s="1">
        <f>$CU57*Table1[[#This Row],[Male% (9 - 11)]]</f>
        <v>0</v>
      </c>
      <c r="DH57" s="1">
        <f>Table1[[#This Row],[Female% (12-14)14]]+Table1[[#This Row],[Male%(12-14)15]]</f>
        <v>0</v>
      </c>
      <c r="DI57" s="1">
        <f>$CT57*Table1[[#This Row],[Female% (12-14)]]</f>
        <v>0</v>
      </c>
      <c r="DJ57" s="1">
        <f>$CU57*Table1[[#This Row],[Male%(12-14)]]</f>
        <v>0</v>
      </c>
      <c r="DK57" s="1">
        <f>Table1[[#This Row],[Female% (15-17)17]]+Table1[[#This Row],[Male%(15-17)18]]</f>
        <v>0</v>
      </c>
      <c r="DL57" s="1">
        <f>$CT57*Table1[[#This Row],[Female% (15-17)]]</f>
        <v>0</v>
      </c>
      <c r="DM57" s="1">
        <f>$CU57*Table1[[#This Row],[Male%(15-17)]]</f>
        <v>0</v>
      </c>
      <c r="DN57" s="1">
        <f>$AF57*Table1[[#This Row],[Total% (18-19)]]</f>
        <v>0</v>
      </c>
      <c r="DO57" s="1">
        <f>$CT57*Table1[[#This Row],[Female% (18-19)]]</f>
        <v>0</v>
      </c>
      <c r="DP57" s="1">
        <f>$CU57*Table1[[#This Row],[Male%(18-19)]]</f>
        <v>0</v>
      </c>
      <c r="DQ57" s="1">
        <f>$AF57*Table1[[#This Row],[Total% (20-24)]]</f>
        <v>0</v>
      </c>
      <c r="DR57" s="1">
        <f>$CT57*Table1[[#This Row],[Female% (20-24)]]</f>
        <v>0</v>
      </c>
      <c r="DS57" s="1">
        <f>$CU57*Table1[[#This Row],[Male% (20-24)]]</f>
        <v>0</v>
      </c>
      <c r="DT57" s="1">
        <f>$AF57*Table1[[#This Row],[Total% (25-29)]]</f>
        <v>0</v>
      </c>
      <c r="DU57" s="1">
        <f>$CT57*Table1[[#This Row],[Female% (25-29)]]</f>
        <v>0</v>
      </c>
      <c r="DV57" s="1">
        <f>$CU57*Table1[[#This Row],[Male% (25-29)]]</f>
        <v>0</v>
      </c>
      <c r="DW57" s="1">
        <f>$AF57*Table1[[#This Row],[Total%   (30-34)]]</f>
        <v>0</v>
      </c>
      <c r="DX57" s="1">
        <f>$CT57*Table1[[#This Row],[Female%   (30-34)]]</f>
        <v>0</v>
      </c>
      <c r="DY57" s="1">
        <f>$CU57*Table1[[#This Row],[Male%  (30-34)]]</f>
        <v>0</v>
      </c>
      <c r="DZ57" s="1">
        <f>$AF57*Table1[[#This Row],[Total% (35-39)]]</f>
        <v>0</v>
      </c>
      <c r="EA57" s="1">
        <f>$CT57*Table1[[#This Row],[Female% (35-39)]]</f>
        <v>0</v>
      </c>
      <c r="EB57" s="1">
        <f>$CU57*Table1[[#This Row],[Male% (35-39)]]</f>
        <v>0</v>
      </c>
      <c r="EC57" s="1">
        <f>$AF57*Table1[[#This Row],[Total% (40-44)]]</f>
        <v>0</v>
      </c>
      <c r="ED57" s="1">
        <f>$CT57*Table1[[#This Row],[Female% (40-44)]]</f>
        <v>0</v>
      </c>
      <c r="EE57" s="1">
        <f>$CU57*Table1[[#This Row],[Male%(55-59)]]</f>
        <v>0</v>
      </c>
      <c r="EF57" s="1">
        <f>$AF57*Table1[[#This Row],[Total% (45-49)]]</f>
        <v>0</v>
      </c>
      <c r="EG57" s="1">
        <f>$CT57*Table1[[#This Row],[Female% (45-49)]]</f>
        <v>0</v>
      </c>
      <c r="EH57" s="1">
        <f>$CU57*Table1[[#This Row],[Male% (45-49)]]</f>
        <v>0</v>
      </c>
      <c r="EI57" s="1">
        <f>$AF57*Table1[[#This Row],[Total% (50-54)]]</f>
        <v>0</v>
      </c>
      <c r="EJ57" s="1">
        <f>$CT57*Table1[[#This Row],[Female%(50-54)]]</f>
        <v>0</v>
      </c>
      <c r="EK57" s="1">
        <f>$CU57*Table1[[#This Row],[Male% (50-54)]]</f>
        <v>0</v>
      </c>
      <c r="EL57" s="1">
        <f>$AF57*Table1[[#This Row],[Total% (55-59)]]</f>
        <v>0</v>
      </c>
      <c r="EM57" s="1">
        <f>$CT57*Table1[[#This Row],[Female% (55-59)]]</f>
        <v>0</v>
      </c>
      <c r="EN57" s="1">
        <f>$CU57*Table1[[#This Row],[Male% (55-59)]]</f>
        <v>0</v>
      </c>
      <c r="EO57" s="1">
        <f>$AF57*Table1[[#This Row],[Total% (60-64)]]</f>
        <v>0</v>
      </c>
      <c r="EP57" s="1">
        <f>$CT57*Table1[[#This Row],[Female%(60-64)]]</f>
        <v>0</v>
      </c>
      <c r="EQ57" s="1">
        <f>$CU57*Table1[[#This Row],[Male%(60-64)]]</f>
        <v>0</v>
      </c>
      <c r="ER57" s="1">
        <f>$AF57*Table1[[#This Row],[Total% (&gt;=65)]]</f>
        <v>0</v>
      </c>
      <c r="ES57" s="1">
        <f>$CT57*Table1[[#This Row],[Female%(&gt;=65)]]</f>
        <v>0</v>
      </c>
      <c r="ET57" s="1">
        <f>$CU57*Table1[[#This Row],[Male% (&gt;=65)]]</f>
        <v>0</v>
      </c>
    </row>
    <row r="58" spans="1:150" hidden="1" x14ac:dyDescent="0.35">
      <c r="A58" t="s">
        <v>104</v>
      </c>
      <c r="B58" t="s">
        <v>105</v>
      </c>
      <c r="C58" t="s">
        <v>458</v>
      </c>
      <c r="D58" t="s">
        <v>459</v>
      </c>
      <c r="E58" t="s">
        <v>458</v>
      </c>
      <c r="F58" t="s">
        <v>502</v>
      </c>
      <c r="H58">
        <v>3</v>
      </c>
      <c r="I58" s="1">
        <v>0</v>
      </c>
      <c r="J58" s="1">
        <v>0</v>
      </c>
      <c r="K58" s="1">
        <v>41717</v>
      </c>
      <c r="L58" s="1">
        <v>13174</v>
      </c>
      <c r="M58" s="1">
        <v>0</v>
      </c>
      <c r="N58" s="1">
        <v>54891</v>
      </c>
      <c r="O58" s="3">
        <v>1</v>
      </c>
      <c r="P58" s="3">
        <v>0</v>
      </c>
      <c r="Q58" s="3">
        <v>0</v>
      </c>
      <c r="R58" s="3">
        <v>0</v>
      </c>
      <c r="S58" s="3">
        <v>0</v>
      </c>
      <c r="T58" s="1">
        <v>54891</v>
      </c>
      <c r="U58" s="1">
        <v>0</v>
      </c>
      <c r="V58" s="10">
        <f>Table1[[#This Row],[Pop NW+RATAA]]*Table1[[#This Row],[Perc_pop_Northern_Aleppo]]</f>
        <v>0</v>
      </c>
      <c r="W58" s="10">
        <f>Table1[[#This Row],[Pop NW+RATAA]]*Table1[[#This Row],[Perc_pop_Afrin District]]</f>
        <v>0</v>
      </c>
      <c r="X58" s="10">
        <f>Table1[[#This Row],[Pop NW+RATAA]]*Table1[[#This Row],[Perc_pop_Euphrates Shiled]]</f>
        <v>0</v>
      </c>
      <c r="Y58" s="10">
        <f>Table1[[#This Row],[Pop NW+RATAA]]*Table1[[#This Row],[Perc_Pop_Idleb_NSAG]]</f>
        <v>0</v>
      </c>
      <c r="Z58" s="3">
        <v>0</v>
      </c>
      <c r="AA58" s="3">
        <v>0</v>
      </c>
      <c r="AB58" s="3">
        <v>0</v>
      </c>
      <c r="AC58" s="3">
        <v>0</v>
      </c>
      <c r="AD58" s="1">
        <v>54891</v>
      </c>
      <c r="AE58" s="1">
        <v>0</v>
      </c>
      <c r="AF58" s="1">
        <v>0</v>
      </c>
      <c r="AG58" s="1">
        <v>0</v>
      </c>
      <c r="AH58" s="1">
        <v>0</v>
      </c>
      <c r="AI58" s="1">
        <f>Table1[[#This Row],[NWS_pin]]*Table1[[#This Row],[Perc_pop_Northern_Aleppo]]</f>
        <v>0</v>
      </c>
      <c r="AJ58" s="1">
        <f>Table1[[#This Row],[NWS_pin]]*Table1[[#This Row],[Perc_pop_Afrin District]]</f>
        <v>0</v>
      </c>
      <c r="AK58" s="1">
        <f>Table1[[#This Row],[NWS_pin]]*Table1[[#This Row],[Perc_pop_Euphrates Shiled]]</f>
        <v>0</v>
      </c>
      <c r="AL58" s="1">
        <f>Table1[[#This Row],[NWS_pin]]*Table1[[#This Row],[Perc_Pop_Idleb_NSAG]]</f>
        <v>0</v>
      </c>
      <c r="AM58" s="4">
        <v>0.55706827694798799</v>
      </c>
      <c r="AN58" s="4">
        <v>0.44293172305201201</v>
      </c>
      <c r="AO58" s="4">
        <v>0.107801531026211</v>
      </c>
      <c r="AP58" s="4">
        <v>0.44786857737914798</v>
      </c>
      <c r="AQ58" s="4">
        <v>0.49241830165135497</v>
      </c>
      <c r="AR58" s="4">
        <v>2.9856560484748499E-2</v>
      </c>
      <c r="AS58" s="4">
        <v>2.7431692150826602E-3</v>
      </c>
      <c r="AT58" s="4">
        <v>2.7113391269665801E-2</v>
      </c>
      <c r="AU58" s="4">
        <v>4.5232114948200799E-2</v>
      </c>
      <c r="AV58" s="4">
        <v>4.5972517287397797E-2</v>
      </c>
      <c r="AW58" s="4">
        <v>4.43009225456725E-2</v>
      </c>
      <c r="AX58" s="4">
        <v>9.3397482902423695E-2</v>
      </c>
      <c r="AY58" s="4">
        <v>7.0071450166588098E-2</v>
      </c>
      <c r="AZ58" s="4">
        <v>0.122734268207951</v>
      </c>
      <c r="BA58" s="4">
        <v>5.8011370541081499E-2</v>
      </c>
      <c r="BB58" s="4">
        <v>7.6841452701292806E-2</v>
      </c>
      <c r="BC58" s="4">
        <v>3.4329071717463099E-2</v>
      </c>
      <c r="BD58" s="4">
        <v>4.8165367954223E-2</v>
      </c>
      <c r="BE58" s="4">
        <v>4.3309296054513502E-2</v>
      </c>
      <c r="BF58" s="4">
        <v>5.4272773373881901E-2</v>
      </c>
      <c r="BG58" s="4">
        <v>8.1683694540655702E-2</v>
      </c>
      <c r="BH58" s="4">
        <v>9.5236994878675194E-2</v>
      </c>
      <c r="BI58" s="4">
        <v>6.4637921403804699E-2</v>
      </c>
      <c r="BJ58" s="4">
        <v>8.5245062283248296E-2</v>
      </c>
      <c r="BK58" s="4">
        <v>5.9166774400094498E-2</v>
      </c>
      <c r="BL58" s="4">
        <v>0.118043315695132</v>
      </c>
      <c r="BM58" s="4">
        <v>3.1056365195599001E-2</v>
      </c>
      <c r="BN58" s="4">
        <v>3.1494366135532401E-2</v>
      </c>
      <c r="BO58" s="4">
        <v>3.0505498287198299E-2</v>
      </c>
      <c r="BP58" s="4">
        <v>8.3674364316300806E-2</v>
      </c>
      <c r="BQ58" s="4">
        <v>0.103478449412284</v>
      </c>
      <c r="BR58" s="4">
        <v>5.87670772858448E-2</v>
      </c>
      <c r="BS58" s="4">
        <v>8.9067735736680503E-2</v>
      </c>
      <c r="BT58" s="4">
        <v>9.6897837153883101E-2</v>
      </c>
      <c r="BU58" s="4">
        <v>7.9219940065705693E-2</v>
      </c>
      <c r="BV58" s="4">
        <v>6.7019272487020803E-2</v>
      </c>
      <c r="BW58" s="4">
        <v>7.5180610426084898E-2</v>
      </c>
      <c r="BX58" s="4">
        <v>5.6754885840750301E-2</v>
      </c>
      <c r="BY58" s="4">
        <v>6.4610473879154195E-2</v>
      </c>
      <c r="BZ58" s="4">
        <v>6.0012795677361598E-2</v>
      </c>
      <c r="CA58" s="4">
        <v>7.0392901600035904E-2</v>
      </c>
      <c r="CB58" s="4">
        <v>6.6094069942488398E-2</v>
      </c>
      <c r="CC58" s="4">
        <v>8.2576043682427006E-2</v>
      </c>
      <c r="CD58" s="4">
        <v>4.53649502290841E-2</v>
      </c>
      <c r="CE58" s="4">
        <v>4.37485188848665E-2</v>
      </c>
      <c r="CF58" s="4">
        <v>3.1494366135532401E-2</v>
      </c>
      <c r="CG58" s="4">
        <v>5.9160374487558197E-2</v>
      </c>
      <c r="CH58" s="4">
        <v>4.2439126628758803E-2</v>
      </c>
      <c r="CI58" s="4">
        <v>4.3998959651371197E-2</v>
      </c>
      <c r="CJ58" s="4">
        <v>4.04773491154077E-2</v>
      </c>
      <c r="CK58" s="4">
        <v>5.5776775740441299E-2</v>
      </c>
      <c r="CL58" s="4">
        <v>5.5970247250761697E-2</v>
      </c>
      <c r="CM58" s="4">
        <v>5.55334496581502E-2</v>
      </c>
      <c r="CN58" s="4">
        <v>2.2432652961234999E-2</v>
      </c>
      <c r="CO58" s="4">
        <v>1.6170193706399699E-2</v>
      </c>
      <c r="CP58" s="4">
        <v>3.03088496863416E-2</v>
      </c>
      <c r="CQ58" s="4">
        <v>2.2345551057621801E-2</v>
      </c>
      <c r="CR58" s="4">
        <v>1.2127645279799801E-2</v>
      </c>
      <c r="CS58" s="4">
        <v>3.5196450800018E-2</v>
      </c>
      <c r="CT58" s="1">
        <f>Table1[[#This Row],[Female %]]*Table1[[#This Row],[NWS_pin]]</f>
        <v>0</v>
      </c>
      <c r="CU58" s="1">
        <f>Table1[[#This Row],[Male %]]*Table1[[#This Row],[NWS_pin]]</f>
        <v>0</v>
      </c>
      <c r="CV58" s="1">
        <f>Table1[[#This Row],[Female% (0-2)22]]+Table1[[#This Row],[Male%(0-2)3]]</f>
        <v>0</v>
      </c>
      <c r="CW58" s="1">
        <f>$CT58*Table1[[#This Row],[Female% (0-2)]]</f>
        <v>0</v>
      </c>
      <c r="CX58" s="1">
        <f>$CU58*Table1[[#This Row],[Male%(0-2)]]</f>
        <v>0</v>
      </c>
      <c r="CY58" s="1">
        <f>Table1[[#This Row],[Female%  (3-5)5]]+Table1[[#This Row],[Male% (3-5)6]]</f>
        <v>0</v>
      </c>
      <c r="CZ58" s="1">
        <f>$AF58*Table1[[#This Row],[Female%  (3-5)]]</f>
        <v>0</v>
      </c>
      <c r="DA58" s="1">
        <f>$CU58*Table1[[#This Row],[Male% (3-5)]]</f>
        <v>0</v>
      </c>
      <c r="DB58" s="1">
        <f>Table1[[#This Row],[Female% (6-8)8]]+Table1[[#This Row],[Male%(6-8)9]]</f>
        <v>0</v>
      </c>
      <c r="DC58" s="1">
        <f>$CT58*Table1[[#This Row],[Female% (6-8)]]</f>
        <v>0</v>
      </c>
      <c r="DD58" s="1">
        <f>$CU58*Table1[[#This Row],[Male%(6-8)]]</f>
        <v>0</v>
      </c>
      <c r="DE58" s="1">
        <f>Table1[[#This Row],[Female% (9 - 11)11]]+Table1[[#This Row],[Male% (9 - 11)12]]</f>
        <v>0</v>
      </c>
      <c r="DF58" s="1">
        <f>$CT58*Table1[[#This Row],[Female% (9 - 11)]]</f>
        <v>0</v>
      </c>
      <c r="DG58" s="1">
        <f>$CU58*Table1[[#This Row],[Male% (9 - 11)]]</f>
        <v>0</v>
      </c>
      <c r="DH58" s="1">
        <f>Table1[[#This Row],[Female% (12-14)14]]+Table1[[#This Row],[Male%(12-14)15]]</f>
        <v>0</v>
      </c>
      <c r="DI58" s="1">
        <f>$CT58*Table1[[#This Row],[Female% (12-14)]]</f>
        <v>0</v>
      </c>
      <c r="DJ58" s="1">
        <f>$CU58*Table1[[#This Row],[Male%(12-14)]]</f>
        <v>0</v>
      </c>
      <c r="DK58" s="1">
        <f>Table1[[#This Row],[Female% (15-17)17]]+Table1[[#This Row],[Male%(15-17)18]]</f>
        <v>0</v>
      </c>
      <c r="DL58" s="1">
        <f>$CT58*Table1[[#This Row],[Female% (15-17)]]</f>
        <v>0</v>
      </c>
      <c r="DM58" s="1">
        <f>$CU58*Table1[[#This Row],[Male%(15-17)]]</f>
        <v>0</v>
      </c>
      <c r="DN58" s="1">
        <f>$AF58*Table1[[#This Row],[Total% (18-19)]]</f>
        <v>0</v>
      </c>
      <c r="DO58" s="1">
        <f>$CT58*Table1[[#This Row],[Female% (18-19)]]</f>
        <v>0</v>
      </c>
      <c r="DP58" s="1">
        <f>$CU58*Table1[[#This Row],[Male%(18-19)]]</f>
        <v>0</v>
      </c>
      <c r="DQ58" s="1">
        <f>$AF58*Table1[[#This Row],[Total% (20-24)]]</f>
        <v>0</v>
      </c>
      <c r="DR58" s="1">
        <f>$CT58*Table1[[#This Row],[Female% (20-24)]]</f>
        <v>0</v>
      </c>
      <c r="DS58" s="1">
        <f>$CU58*Table1[[#This Row],[Male% (20-24)]]</f>
        <v>0</v>
      </c>
      <c r="DT58" s="1">
        <f>$AF58*Table1[[#This Row],[Total% (25-29)]]</f>
        <v>0</v>
      </c>
      <c r="DU58" s="1">
        <f>$CT58*Table1[[#This Row],[Female% (25-29)]]</f>
        <v>0</v>
      </c>
      <c r="DV58" s="1">
        <f>$CU58*Table1[[#This Row],[Male% (25-29)]]</f>
        <v>0</v>
      </c>
      <c r="DW58" s="1">
        <f>$AF58*Table1[[#This Row],[Total%   (30-34)]]</f>
        <v>0</v>
      </c>
      <c r="DX58" s="1">
        <f>$CT58*Table1[[#This Row],[Female%   (30-34)]]</f>
        <v>0</v>
      </c>
      <c r="DY58" s="1">
        <f>$CU58*Table1[[#This Row],[Male%  (30-34)]]</f>
        <v>0</v>
      </c>
      <c r="DZ58" s="1">
        <f>$AF58*Table1[[#This Row],[Total% (35-39)]]</f>
        <v>0</v>
      </c>
      <c r="EA58" s="1">
        <f>$CT58*Table1[[#This Row],[Female% (35-39)]]</f>
        <v>0</v>
      </c>
      <c r="EB58" s="1">
        <f>$CU58*Table1[[#This Row],[Male% (35-39)]]</f>
        <v>0</v>
      </c>
      <c r="EC58" s="1">
        <f>$AF58*Table1[[#This Row],[Total% (40-44)]]</f>
        <v>0</v>
      </c>
      <c r="ED58" s="1">
        <f>$CT58*Table1[[#This Row],[Female% (40-44)]]</f>
        <v>0</v>
      </c>
      <c r="EE58" s="1">
        <f>$CU58*Table1[[#This Row],[Male%(55-59)]]</f>
        <v>0</v>
      </c>
      <c r="EF58" s="1">
        <f>$AF58*Table1[[#This Row],[Total% (45-49)]]</f>
        <v>0</v>
      </c>
      <c r="EG58" s="1">
        <f>$CT58*Table1[[#This Row],[Female% (45-49)]]</f>
        <v>0</v>
      </c>
      <c r="EH58" s="1">
        <f>$CU58*Table1[[#This Row],[Male% (45-49)]]</f>
        <v>0</v>
      </c>
      <c r="EI58" s="1">
        <f>$AF58*Table1[[#This Row],[Total% (50-54)]]</f>
        <v>0</v>
      </c>
      <c r="EJ58" s="1">
        <f>$CT58*Table1[[#This Row],[Female%(50-54)]]</f>
        <v>0</v>
      </c>
      <c r="EK58" s="1">
        <f>$CU58*Table1[[#This Row],[Male% (50-54)]]</f>
        <v>0</v>
      </c>
      <c r="EL58" s="1">
        <f>$AF58*Table1[[#This Row],[Total% (55-59)]]</f>
        <v>0</v>
      </c>
      <c r="EM58" s="1">
        <f>$CT58*Table1[[#This Row],[Female% (55-59)]]</f>
        <v>0</v>
      </c>
      <c r="EN58" s="1">
        <f>$CU58*Table1[[#This Row],[Male% (55-59)]]</f>
        <v>0</v>
      </c>
      <c r="EO58" s="1">
        <f>$AF58*Table1[[#This Row],[Total% (60-64)]]</f>
        <v>0</v>
      </c>
      <c r="EP58" s="1">
        <f>$CT58*Table1[[#This Row],[Female%(60-64)]]</f>
        <v>0</v>
      </c>
      <c r="EQ58" s="1">
        <f>$CU58*Table1[[#This Row],[Male%(60-64)]]</f>
        <v>0</v>
      </c>
      <c r="ER58" s="1">
        <f>$AF58*Table1[[#This Row],[Total% (&gt;=65)]]</f>
        <v>0</v>
      </c>
      <c r="ES58" s="1">
        <f>$CT58*Table1[[#This Row],[Female%(&gt;=65)]]</f>
        <v>0</v>
      </c>
      <c r="ET58" s="1">
        <f>$CU58*Table1[[#This Row],[Male% (&gt;=65)]]</f>
        <v>0</v>
      </c>
    </row>
    <row r="59" spans="1:150" hidden="1" x14ac:dyDescent="0.35">
      <c r="A59" t="s">
        <v>104</v>
      </c>
      <c r="B59" t="s">
        <v>105</v>
      </c>
      <c r="C59" t="s">
        <v>458</v>
      </c>
      <c r="D59" t="s">
        <v>459</v>
      </c>
      <c r="E59" t="s">
        <v>496</v>
      </c>
      <c r="F59" t="s">
        <v>497</v>
      </c>
      <c r="H59">
        <v>3</v>
      </c>
      <c r="I59" s="1">
        <v>0</v>
      </c>
      <c r="J59" s="1">
        <v>293</v>
      </c>
      <c r="K59" s="1">
        <v>25284</v>
      </c>
      <c r="L59" s="1">
        <v>4801</v>
      </c>
      <c r="M59" s="1">
        <v>0</v>
      </c>
      <c r="N59" s="1">
        <v>30085</v>
      </c>
      <c r="O59" s="3">
        <v>1</v>
      </c>
      <c r="P59" s="3">
        <v>0</v>
      </c>
      <c r="Q59" s="3">
        <v>0</v>
      </c>
      <c r="R59" s="3">
        <v>0</v>
      </c>
      <c r="S59" s="3">
        <v>0</v>
      </c>
      <c r="T59" s="1">
        <v>30378</v>
      </c>
      <c r="U59" s="1">
        <v>0</v>
      </c>
      <c r="V59" s="10">
        <f>Table1[[#This Row],[Pop NW+RATAA]]*Table1[[#This Row],[Perc_pop_Northern_Aleppo]]</f>
        <v>0</v>
      </c>
      <c r="W59" s="10">
        <f>Table1[[#This Row],[Pop NW+RATAA]]*Table1[[#This Row],[Perc_pop_Afrin District]]</f>
        <v>0</v>
      </c>
      <c r="X59" s="10">
        <f>Table1[[#This Row],[Pop NW+RATAA]]*Table1[[#This Row],[Perc_pop_Euphrates Shiled]]</f>
        <v>0</v>
      </c>
      <c r="Y59" s="10">
        <f>Table1[[#This Row],[Pop NW+RATAA]]*Table1[[#This Row],[Perc_Pop_Idleb_NSAG]]</f>
        <v>0</v>
      </c>
      <c r="Z59" s="3">
        <v>0</v>
      </c>
      <c r="AA59" s="3">
        <v>0</v>
      </c>
      <c r="AB59" s="3">
        <v>0</v>
      </c>
      <c r="AC59" s="3">
        <v>0</v>
      </c>
      <c r="AD59" s="1">
        <v>30085</v>
      </c>
      <c r="AE59" s="1">
        <v>0</v>
      </c>
      <c r="AF59" s="1">
        <v>0</v>
      </c>
      <c r="AG59" s="1">
        <v>0</v>
      </c>
      <c r="AH59" s="1">
        <v>0</v>
      </c>
      <c r="AI59" s="1">
        <f>Table1[[#This Row],[NWS_pin]]*Table1[[#This Row],[Perc_pop_Northern_Aleppo]]</f>
        <v>0</v>
      </c>
      <c r="AJ59" s="1">
        <f>Table1[[#This Row],[NWS_pin]]*Table1[[#This Row],[Perc_pop_Afrin District]]</f>
        <v>0</v>
      </c>
      <c r="AK59" s="1">
        <f>Table1[[#This Row],[NWS_pin]]*Table1[[#This Row],[Perc_pop_Euphrates Shiled]]</f>
        <v>0</v>
      </c>
      <c r="AL59" s="1">
        <f>Table1[[#This Row],[NWS_pin]]*Table1[[#This Row],[Perc_Pop_Idleb_NSAG]]</f>
        <v>0</v>
      </c>
      <c r="AM59" s="4">
        <v>0.533345230281564</v>
      </c>
      <c r="AN59" s="4">
        <v>0.466654769718436</v>
      </c>
      <c r="AO59" s="4">
        <v>0.176974624731951</v>
      </c>
      <c r="AP59" s="4">
        <v>0.35663860149502502</v>
      </c>
      <c r="AQ59" s="4">
        <v>0.53825748811204699</v>
      </c>
      <c r="AR59" s="4">
        <v>3.1921574923619599E-2</v>
      </c>
      <c r="AS59" s="4">
        <v>0</v>
      </c>
      <c r="AT59" s="4">
        <v>7.3182335469308496E-2</v>
      </c>
      <c r="AU59" s="4">
        <v>3.10429691556494E-2</v>
      </c>
      <c r="AV59" s="4">
        <v>2.3620082457622801E-2</v>
      </c>
      <c r="AW59" s="4">
        <v>3.9526673753165098E-2</v>
      </c>
      <c r="AX59" s="4">
        <v>7.1491584925558405E-2</v>
      </c>
      <c r="AY59" s="4">
        <v>6.9455707855780494E-2</v>
      </c>
      <c r="AZ59" s="4">
        <v>7.3818412797179198E-2</v>
      </c>
      <c r="BA59" s="4">
        <v>5.4664460690164098E-2</v>
      </c>
      <c r="BB59" s="4">
        <v>3.3531254312389999E-2</v>
      </c>
      <c r="BC59" s="4">
        <v>7.8817851062542701E-2</v>
      </c>
      <c r="BD59" s="4">
        <v>6.6262976999569498E-2</v>
      </c>
      <c r="BE59" s="4">
        <v>6.46012563350781E-2</v>
      </c>
      <c r="BF59" s="4">
        <v>6.8162177110609901E-2</v>
      </c>
      <c r="BG59" s="4">
        <v>5.1108483028196802E-2</v>
      </c>
      <c r="BH59" s="4">
        <v>4.83233427662434E-2</v>
      </c>
      <c r="BI59" s="4">
        <v>5.4291652623300803E-2</v>
      </c>
      <c r="BJ59" s="4">
        <v>6.0523203586022499E-2</v>
      </c>
      <c r="BK59" s="4">
        <v>4.6419747485344998E-2</v>
      </c>
      <c r="BL59" s="4">
        <v>7.6642209604798103E-2</v>
      </c>
      <c r="BM59" s="4">
        <v>3.7531847021377199E-2</v>
      </c>
      <c r="BN59" s="4">
        <v>4.16295682978607E-2</v>
      </c>
      <c r="BO59" s="4">
        <v>3.2848513131627399E-2</v>
      </c>
      <c r="BP59" s="4">
        <v>5.9507930122568803E-2</v>
      </c>
      <c r="BQ59" s="4">
        <v>8.8775215076020902E-2</v>
      </c>
      <c r="BR59" s="4">
        <v>2.6058005582778099E-2</v>
      </c>
      <c r="BS59" s="4">
        <v>0.10521540029702001</v>
      </c>
      <c r="BT59" s="4">
        <v>0.130151474766493</v>
      </c>
      <c r="BU59" s="4">
        <v>7.6715667211117194E-2</v>
      </c>
      <c r="BV59" s="4">
        <v>7.9071352451124205E-2</v>
      </c>
      <c r="BW59" s="4">
        <v>6.8304476946081202E-2</v>
      </c>
      <c r="BX59" s="4">
        <v>9.1376941225272901E-2</v>
      </c>
      <c r="BY59" s="4">
        <v>8.7137080065453398E-2</v>
      </c>
      <c r="BZ59" s="4">
        <v>9.8618333872086697E-2</v>
      </c>
      <c r="CA59" s="4">
        <v>7.4015019919974404E-2</v>
      </c>
      <c r="CB59" s="4">
        <v>6.9867349027222803E-2</v>
      </c>
      <c r="CC59" s="4">
        <v>6.2268548711812297E-2</v>
      </c>
      <c r="CD59" s="4">
        <v>7.8552107369094196E-2</v>
      </c>
      <c r="CE59" s="4">
        <v>6.2816894876347396E-2</v>
      </c>
      <c r="CF59" s="4">
        <v>5.1209926672829302E-2</v>
      </c>
      <c r="CG59" s="4">
        <v>7.6082635486073302E-2</v>
      </c>
      <c r="CH59" s="4">
        <v>4.6557396221811501E-2</v>
      </c>
      <c r="CI59" s="4">
        <v>5.16995306229312E-2</v>
      </c>
      <c r="CJ59" s="4">
        <v>4.0680390275941301E-2</v>
      </c>
      <c r="CK59" s="4">
        <v>4.32554889796955E-2</v>
      </c>
      <c r="CL59" s="4">
        <v>4.7570978395044199E-2</v>
      </c>
      <c r="CM59" s="4">
        <v>3.8323265320231899E-2</v>
      </c>
      <c r="CN59" s="4">
        <v>3.2195359988546703E-2</v>
      </c>
      <c r="CO59" s="4">
        <v>2.7164512598322501E-2</v>
      </c>
      <c r="CP59" s="4">
        <v>3.7945174699471999E-2</v>
      </c>
      <c r="CQ59" s="4">
        <v>4.1750222563671301E-2</v>
      </c>
      <c r="CR59" s="4">
        <v>4.6656042828058297E-2</v>
      </c>
      <c r="CS59" s="4">
        <v>3.6143302826821502E-2</v>
      </c>
      <c r="CT59" s="1">
        <f>Table1[[#This Row],[Female %]]*Table1[[#This Row],[NWS_pin]]</f>
        <v>0</v>
      </c>
      <c r="CU59" s="1">
        <f>Table1[[#This Row],[Male %]]*Table1[[#This Row],[NWS_pin]]</f>
        <v>0</v>
      </c>
      <c r="CV59" s="1">
        <f>Table1[[#This Row],[Female% (0-2)22]]+Table1[[#This Row],[Male%(0-2)3]]</f>
        <v>0</v>
      </c>
      <c r="CW59" s="1">
        <f>$CT59*Table1[[#This Row],[Female% (0-2)]]</f>
        <v>0</v>
      </c>
      <c r="CX59" s="1">
        <f>$CU59*Table1[[#This Row],[Male%(0-2)]]</f>
        <v>0</v>
      </c>
      <c r="CY59" s="1">
        <f>Table1[[#This Row],[Female%  (3-5)5]]+Table1[[#This Row],[Male% (3-5)6]]</f>
        <v>0</v>
      </c>
      <c r="CZ59" s="1">
        <f>$AF59*Table1[[#This Row],[Female%  (3-5)]]</f>
        <v>0</v>
      </c>
      <c r="DA59" s="1">
        <f>$CU59*Table1[[#This Row],[Male% (3-5)]]</f>
        <v>0</v>
      </c>
      <c r="DB59" s="1">
        <f>Table1[[#This Row],[Female% (6-8)8]]+Table1[[#This Row],[Male%(6-8)9]]</f>
        <v>0</v>
      </c>
      <c r="DC59" s="1">
        <f>$CT59*Table1[[#This Row],[Female% (6-8)]]</f>
        <v>0</v>
      </c>
      <c r="DD59" s="1">
        <f>$CU59*Table1[[#This Row],[Male%(6-8)]]</f>
        <v>0</v>
      </c>
      <c r="DE59" s="1">
        <f>Table1[[#This Row],[Female% (9 - 11)11]]+Table1[[#This Row],[Male% (9 - 11)12]]</f>
        <v>0</v>
      </c>
      <c r="DF59" s="1">
        <f>$CT59*Table1[[#This Row],[Female% (9 - 11)]]</f>
        <v>0</v>
      </c>
      <c r="DG59" s="1">
        <f>$CU59*Table1[[#This Row],[Male% (9 - 11)]]</f>
        <v>0</v>
      </c>
      <c r="DH59" s="1">
        <f>Table1[[#This Row],[Female% (12-14)14]]+Table1[[#This Row],[Male%(12-14)15]]</f>
        <v>0</v>
      </c>
      <c r="DI59" s="1">
        <f>$CT59*Table1[[#This Row],[Female% (12-14)]]</f>
        <v>0</v>
      </c>
      <c r="DJ59" s="1">
        <f>$CU59*Table1[[#This Row],[Male%(12-14)]]</f>
        <v>0</v>
      </c>
      <c r="DK59" s="1">
        <f>Table1[[#This Row],[Female% (15-17)17]]+Table1[[#This Row],[Male%(15-17)18]]</f>
        <v>0</v>
      </c>
      <c r="DL59" s="1">
        <f>$CT59*Table1[[#This Row],[Female% (15-17)]]</f>
        <v>0</v>
      </c>
      <c r="DM59" s="1">
        <f>$CU59*Table1[[#This Row],[Male%(15-17)]]</f>
        <v>0</v>
      </c>
      <c r="DN59" s="1">
        <f>$AF59*Table1[[#This Row],[Total% (18-19)]]</f>
        <v>0</v>
      </c>
      <c r="DO59" s="1">
        <f>$CT59*Table1[[#This Row],[Female% (18-19)]]</f>
        <v>0</v>
      </c>
      <c r="DP59" s="1">
        <f>$CU59*Table1[[#This Row],[Male%(18-19)]]</f>
        <v>0</v>
      </c>
      <c r="DQ59" s="1">
        <f>$AF59*Table1[[#This Row],[Total% (20-24)]]</f>
        <v>0</v>
      </c>
      <c r="DR59" s="1">
        <f>$CT59*Table1[[#This Row],[Female% (20-24)]]</f>
        <v>0</v>
      </c>
      <c r="DS59" s="1">
        <f>$CU59*Table1[[#This Row],[Male% (20-24)]]</f>
        <v>0</v>
      </c>
      <c r="DT59" s="1">
        <f>$AF59*Table1[[#This Row],[Total% (25-29)]]</f>
        <v>0</v>
      </c>
      <c r="DU59" s="1">
        <f>$CT59*Table1[[#This Row],[Female% (25-29)]]</f>
        <v>0</v>
      </c>
      <c r="DV59" s="1">
        <f>$CU59*Table1[[#This Row],[Male% (25-29)]]</f>
        <v>0</v>
      </c>
      <c r="DW59" s="1">
        <f>$AF59*Table1[[#This Row],[Total%   (30-34)]]</f>
        <v>0</v>
      </c>
      <c r="DX59" s="1">
        <f>$CT59*Table1[[#This Row],[Female%   (30-34)]]</f>
        <v>0</v>
      </c>
      <c r="DY59" s="1">
        <f>$CU59*Table1[[#This Row],[Male%  (30-34)]]</f>
        <v>0</v>
      </c>
      <c r="DZ59" s="1">
        <f>$AF59*Table1[[#This Row],[Total% (35-39)]]</f>
        <v>0</v>
      </c>
      <c r="EA59" s="1">
        <f>$CT59*Table1[[#This Row],[Female% (35-39)]]</f>
        <v>0</v>
      </c>
      <c r="EB59" s="1">
        <f>$CU59*Table1[[#This Row],[Male% (35-39)]]</f>
        <v>0</v>
      </c>
      <c r="EC59" s="1">
        <f>$AF59*Table1[[#This Row],[Total% (40-44)]]</f>
        <v>0</v>
      </c>
      <c r="ED59" s="1">
        <f>$CT59*Table1[[#This Row],[Female% (40-44)]]</f>
        <v>0</v>
      </c>
      <c r="EE59" s="1">
        <f>$CU59*Table1[[#This Row],[Male%(55-59)]]</f>
        <v>0</v>
      </c>
      <c r="EF59" s="1">
        <f>$AF59*Table1[[#This Row],[Total% (45-49)]]</f>
        <v>0</v>
      </c>
      <c r="EG59" s="1">
        <f>$CT59*Table1[[#This Row],[Female% (45-49)]]</f>
        <v>0</v>
      </c>
      <c r="EH59" s="1">
        <f>$CU59*Table1[[#This Row],[Male% (45-49)]]</f>
        <v>0</v>
      </c>
      <c r="EI59" s="1">
        <f>$AF59*Table1[[#This Row],[Total% (50-54)]]</f>
        <v>0</v>
      </c>
      <c r="EJ59" s="1">
        <f>$CT59*Table1[[#This Row],[Female%(50-54)]]</f>
        <v>0</v>
      </c>
      <c r="EK59" s="1">
        <f>$CU59*Table1[[#This Row],[Male% (50-54)]]</f>
        <v>0</v>
      </c>
      <c r="EL59" s="1">
        <f>$AF59*Table1[[#This Row],[Total% (55-59)]]</f>
        <v>0</v>
      </c>
      <c r="EM59" s="1">
        <f>$CT59*Table1[[#This Row],[Female% (55-59)]]</f>
        <v>0</v>
      </c>
      <c r="EN59" s="1">
        <f>$CU59*Table1[[#This Row],[Male% (55-59)]]</f>
        <v>0</v>
      </c>
      <c r="EO59" s="1">
        <f>$AF59*Table1[[#This Row],[Total% (60-64)]]</f>
        <v>0</v>
      </c>
      <c r="EP59" s="1">
        <f>$CT59*Table1[[#This Row],[Female%(60-64)]]</f>
        <v>0</v>
      </c>
      <c r="EQ59" s="1">
        <f>$CU59*Table1[[#This Row],[Male%(60-64)]]</f>
        <v>0</v>
      </c>
      <c r="ER59" s="1">
        <f>$AF59*Table1[[#This Row],[Total% (&gt;=65)]]</f>
        <v>0</v>
      </c>
      <c r="ES59" s="1">
        <f>$CT59*Table1[[#This Row],[Female%(&gt;=65)]]</f>
        <v>0</v>
      </c>
      <c r="ET59" s="1">
        <f>$CU59*Table1[[#This Row],[Male% (&gt;=65)]]</f>
        <v>0</v>
      </c>
    </row>
    <row r="60" spans="1:150" hidden="1" x14ac:dyDescent="0.35">
      <c r="A60" t="s">
        <v>104</v>
      </c>
      <c r="B60" t="s">
        <v>105</v>
      </c>
      <c r="C60" t="s">
        <v>458</v>
      </c>
      <c r="D60" t="s">
        <v>459</v>
      </c>
      <c r="E60" t="s">
        <v>463</v>
      </c>
      <c r="F60" t="s">
        <v>464</v>
      </c>
      <c r="H60">
        <v>3</v>
      </c>
      <c r="I60" s="1">
        <v>0</v>
      </c>
      <c r="J60" s="1">
        <v>3272</v>
      </c>
      <c r="K60" s="1">
        <v>8769</v>
      </c>
      <c r="L60" s="1">
        <v>1309</v>
      </c>
      <c r="M60" s="1">
        <v>0</v>
      </c>
      <c r="N60" s="1">
        <v>10078</v>
      </c>
      <c r="O60" s="3">
        <v>1</v>
      </c>
      <c r="P60" s="3">
        <v>0</v>
      </c>
      <c r="Q60" s="3">
        <v>0</v>
      </c>
      <c r="R60" s="3">
        <v>0</v>
      </c>
      <c r="S60" s="3">
        <v>0</v>
      </c>
      <c r="T60" s="1">
        <v>13350</v>
      </c>
      <c r="U60" s="1">
        <v>0</v>
      </c>
      <c r="V60" s="10">
        <f>Table1[[#This Row],[Pop NW+RATAA]]*Table1[[#This Row],[Perc_pop_Northern_Aleppo]]</f>
        <v>0</v>
      </c>
      <c r="W60" s="10">
        <f>Table1[[#This Row],[Pop NW+RATAA]]*Table1[[#This Row],[Perc_pop_Afrin District]]</f>
        <v>0</v>
      </c>
      <c r="X60" s="10">
        <f>Table1[[#This Row],[Pop NW+RATAA]]*Table1[[#This Row],[Perc_pop_Euphrates Shiled]]</f>
        <v>0</v>
      </c>
      <c r="Y60" s="10">
        <f>Table1[[#This Row],[Pop NW+RATAA]]*Table1[[#This Row],[Perc_Pop_Idleb_NSAG]]</f>
        <v>0</v>
      </c>
      <c r="Z60" s="3">
        <v>0</v>
      </c>
      <c r="AA60" s="3">
        <v>0</v>
      </c>
      <c r="AB60" s="3">
        <v>0</v>
      </c>
      <c r="AC60" s="3">
        <v>0</v>
      </c>
      <c r="AD60" s="1">
        <v>10078</v>
      </c>
      <c r="AE60" s="1">
        <v>0</v>
      </c>
      <c r="AF60" s="1">
        <v>0</v>
      </c>
      <c r="AG60" s="1">
        <v>0</v>
      </c>
      <c r="AH60" s="1">
        <v>0</v>
      </c>
      <c r="AI60" s="1">
        <f>Table1[[#This Row],[NWS_pin]]*Table1[[#This Row],[Perc_pop_Northern_Aleppo]]</f>
        <v>0</v>
      </c>
      <c r="AJ60" s="1">
        <f>Table1[[#This Row],[NWS_pin]]*Table1[[#This Row],[Perc_pop_Afrin District]]</f>
        <v>0</v>
      </c>
      <c r="AK60" s="1">
        <f>Table1[[#This Row],[NWS_pin]]*Table1[[#This Row],[Perc_pop_Euphrates Shiled]]</f>
        <v>0</v>
      </c>
      <c r="AL60" s="1">
        <f>Table1[[#This Row],[NWS_pin]]*Table1[[#This Row],[Perc_Pop_Idleb_NSAG]]</f>
        <v>0</v>
      </c>
      <c r="AM60" s="4">
        <v>0.54123388147040996</v>
      </c>
      <c r="AN60" s="4">
        <v>0.45876611852958998</v>
      </c>
      <c r="AO60" s="4">
        <v>0.131932555123217</v>
      </c>
      <c r="AP60" s="4">
        <v>0.400107992802886</v>
      </c>
      <c r="AQ60" s="4">
        <v>0.52829674920728897</v>
      </c>
      <c r="AR60" s="4">
        <v>1.13372952350702E-2</v>
      </c>
      <c r="AS60" s="4">
        <v>2.9729783382751798E-3</v>
      </c>
      <c r="AT60" s="4">
        <v>5.7284984416479799E-2</v>
      </c>
      <c r="AU60" s="4">
        <v>5.1126351067658803E-2</v>
      </c>
      <c r="AV60" s="4">
        <v>4.1375185901824998E-2</v>
      </c>
      <c r="AW60" s="4">
        <v>6.2630384949844603E-2</v>
      </c>
      <c r="AX60" s="4">
        <v>0.117254510080229</v>
      </c>
      <c r="AY60" s="4">
        <v>0.11069201983185201</v>
      </c>
      <c r="AZ60" s="4">
        <v>0.12499667308177199</v>
      </c>
      <c r="BA60" s="4">
        <v>8.4977795439427697E-2</v>
      </c>
      <c r="BB60" s="4">
        <v>7.8843908301114402E-2</v>
      </c>
      <c r="BC60" s="4">
        <v>9.2214309668097003E-2</v>
      </c>
      <c r="BD60" s="4">
        <v>6.6621229852098202E-2</v>
      </c>
      <c r="BE60" s="4">
        <v>6.1171557582215499E-2</v>
      </c>
      <c r="BF60" s="4">
        <v>7.3050534799080802E-2</v>
      </c>
      <c r="BG60" s="4">
        <v>4.8439991907954998E-2</v>
      </c>
      <c r="BH60" s="4">
        <v>5.2485970007343299E-2</v>
      </c>
      <c r="BI60" s="4">
        <v>4.36667090899149E-2</v>
      </c>
      <c r="BJ60" s="4">
        <v>6.4510804517448006E-2</v>
      </c>
      <c r="BK60" s="4">
        <v>6.13795194665347E-2</v>
      </c>
      <c r="BL60" s="4">
        <v>6.8204969133457596E-2</v>
      </c>
      <c r="BM60" s="4">
        <v>1.77593748811932E-2</v>
      </c>
      <c r="BN60" s="4">
        <v>1.6676533234370301E-2</v>
      </c>
      <c r="BO60" s="4">
        <v>1.9036868060955899E-2</v>
      </c>
      <c r="BP60" s="4">
        <v>6.8259508222333606E-2</v>
      </c>
      <c r="BQ60" s="4">
        <v>8.6248089709096407E-2</v>
      </c>
      <c r="BR60" s="4">
        <v>4.7037300681304503E-2</v>
      </c>
      <c r="BS60" s="4">
        <v>9.5733610764307003E-2</v>
      </c>
      <c r="BT60" s="4">
        <v>0.135312738065341</v>
      </c>
      <c r="BU60" s="4">
        <v>4.9039742518305299E-2</v>
      </c>
      <c r="BV60" s="4">
        <v>7.7092380573652794E-2</v>
      </c>
      <c r="BW60" s="4">
        <v>8.5545039078478602E-2</v>
      </c>
      <c r="BX60" s="4">
        <v>6.7120272812133897E-2</v>
      </c>
      <c r="BY60" s="4">
        <v>8.2224280075781003E-2</v>
      </c>
      <c r="BZ60" s="4">
        <v>6.5725902339745498E-2</v>
      </c>
      <c r="CA60" s="4">
        <v>0.101688404952003</v>
      </c>
      <c r="CB60" s="4">
        <v>5.1163814239279799E-2</v>
      </c>
      <c r="CC60" s="4">
        <v>3.2457640840596699E-2</v>
      </c>
      <c r="CD60" s="4">
        <v>7.3232607960311197E-2</v>
      </c>
      <c r="CE60" s="4">
        <v>5.5146565640055503E-2</v>
      </c>
      <c r="CF60" s="4">
        <v>5.30646331795393E-2</v>
      </c>
      <c r="CG60" s="4">
        <v>5.7602746122991003E-2</v>
      </c>
      <c r="CH60" s="4">
        <v>3.7629175097036498E-2</v>
      </c>
      <c r="CI60" s="4">
        <v>4.48417300336851E-2</v>
      </c>
      <c r="CJ60" s="4">
        <v>2.9120091827782298E-2</v>
      </c>
      <c r="CK60" s="4">
        <v>3.3241432935788899E-2</v>
      </c>
      <c r="CL60" s="4">
        <v>2.8589529283197E-2</v>
      </c>
      <c r="CM60" s="4">
        <v>3.8729562438875403E-2</v>
      </c>
      <c r="CN60" s="4">
        <v>1.7705039407094E-2</v>
      </c>
      <c r="CO60" s="4">
        <v>1.6576141377985399E-2</v>
      </c>
      <c r="CP60" s="4">
        <v>1.9036868060955899E-2</v>
      </c>
      <c r="CQ60" s="4">
        <v>3.1114135298660601E-2</v>
      </c>
      <c r="CR60" s="4">
        <v>2.9013861767079201E-2</v>
      </c>
      <c r="CS60" s="4">
        <v>3.35919538422155E-2</v>
      </c>
      <c r="CT60" s="1">
        <f>Table1[[#This Row],[Female %]]*Table1[[#This Row],[NWS_pin]]</f>
        <v>0</v>
      </c>
      <c r="CU60" s="1">
        <f>Table1[[#This Row],[Male %]]*Table1[[#This Row],[NWS_pin]]</f>
        <v>0</v>
      </c>
      <c r="CV60" s="1">
        <f>Table1[[#This Row],[Female% (0-2)22]]+Table1[[#This Row],[Male%(0-2)3]]</f>
        <v>0</v>
      </c>
      <c r="CW60" s="1">
        <f>$CT60*Table1[[#This Row],[Female% (0-2)]]</f>
        <v>0</v>
      </c>
      <c r="CX60" s="1">
        <f>$CU60*Table1[[#This Row],[Male%(0-2)]]</f>
        <v>0</v>
      </c>
      <c r="CY60" s="1">
        <f>Table1[[#This Row],[Female%  (3-5)5]]+Table1[[#This Row],[Male% (3-5)6]]</f>
        <v>0</v>
      </c>
      <c r="CZ60" s="1">
        <f>$AF60*Table1[[#This Row],[Female%  (3-5)]]</f>
        <v>0</v>
      </c>
      <c r="DA60" s="1">
        <f>$CU60*Table1[[#This Row],[Male% (3-5)]]</f>
        <v>0</v>
      </c>
      <c r="DB60" s="1">
        <f>Table1[[#This Row],[Female% (6-8)8]]+Table1[[#This Row],[Male%(6-8)9]]</f>
        <v>0</v>
      </c>
      <c r="DC60" s="1">
        <f>$CT60*Table1[[#This Row],[Female% (6-8)]]</f>
        <v>0</v>
      </c>
      <c r="DD60" s="1">
        <f>$CU60*Table1[[#This Row],[Male%(6-8)]]</f>
        <v>0</v>
      </c>
      <c r="DE60" s="1">
        <f>Table1[[#This Row],[Female% (9 - 11)11]]+Table1[[#This Row],[Male% (9 - 11)12]]</f>
        <v>0</v>
      </c>
      <c r="DF60" s="1">
        <f>$CT60*Table1[[#This Row],[Female% (9 - 11)]]</f>
        <v>0</v>
      </c>
      <c r="DG60" s="1">
        <f>$CU60*Table1[[#This Row],[Male% (9 - 11)]]</f>
        <v>0</v>
      </c>
      <c r="DH60" s="1">
        <f>Table1[[#This Row],[Female% (12-14)14]]+Table1[[#This Row],[Male%(12-14)15]]</f>
        <v>0</v>
      </c>
      <c r="DI60" s="1">
        <f>$CT60*Table1[[#This Row],[Female% (12-14)]]</f>
        <v>0</v>
      </c>
      <c r="DJ60" s="1">
        <f>$CU60*Table1[[#This Row],[Male%(12-14)]]</f>
        <v>0</v>
      </c>
      <c r="DK60" s="1">
        <f>Table1[[#This Row],[Female% (15-17)17]]+Table1[[#This Row],[Male%(15-17)18]]</f>
        <v>0</v>
      </c>
      <c r="DL60" s="1">
        <f>$CT60*Table1[[#This Row],[Female% (15-17)]]</f>
        <v>0</v>
      </c>
      <c r="DM60" s="1">
        <f>$CU60*Table1[[#This Row],[Male%(15-17)]]</f>
        <v>0</v>
      </c>
      <c r="DN60" s="1">
        <f>$AF60*Table1[[#This Row],[Total% (18-19)]]</f>
        <v>0</v>
      </c>
      <c r="DO60" s="1">
        <f>$CT60*Table1[[#This Row],[Female% (18-19)]]</f>
        <v>0</v>
      </c>
      <c r="DP60" s="1">
        <f>$CU60*Table1[[#This Row],[Male%(18-19)]]</f>
        <v>0</v>
      </c>
      <c r="DQ60" s="1">
        <f>$AF60*Table1[[#This Row],[Total% (20-24)]]</f>
        <v>0</v>
      </c>
      <c r="DR60" s="1">
        <f>$CT60*Table1[[#This Row],[Female% (20-24)]]</f>
        <v>0</v>
      </c>
      <c r="DS60" s="1">
        <f>$CU60*Table1[[#This Row],[Male% (20-24)]]</f>
        <v>0</v>
      </c>
      <c r="DT60" s="1">
        <f>$AF60*Table1[[#This Row],[Total% (25-29)]]</f>
        <v>0</v>
      </c>
      <c r="DU60" s="1">
        <f>$CT60*Table1[[#This Row],[Female% (25-29)]]</f>
        <v>0</v>
      </c>
      <c r="DV60" s="1">
        <f>$CU60*Table1[[#This Row],[Male% (25-29)]]</f>
        <v>0</v>
      </c>
      <c r="DW60" s="1">
        <f>$AF60*Table1[[#This Row],[Total%   (30-34)]]</f>
        <v>0</v>
      </c>
      <c r="DX60" s="1">
        <f>$CT60*Table1[[#This Row],[Female%   (30-34)]]</f>
        <v>0</v>
      </c>
      <c r="DY60" s="1">
        <f>$CU60*Table1[[#This Row],[Male%  (30-34)]]</f>
        <v>0</v>
      </c>
      <c r="DZ60" s="1">
        <f>$AF60*Table1[[#This Row],[Total% (35-39)]]</f>
        <v>0</v>
      </c>
      <c r="EA60" s="1">
        <f>$CT60*Table1[[#This Row],[Female% (35-39)]]</f>
        <v>0</v>
      </c>
      <c r="EB60" s="1">
        <f>$CU60*Table1[[#This Row],[Male% (35-39)]]</f>
        <v>0</v>
      </c>
      <c r="EC60" s="1">
        <f>$AF60*Table1[[#This Row],[Total% (40-44)]]</f>
        <v>0</v>
      </c>
      <c r="ED60" s="1">
        <f>$CT60*Table1[[#This Row],[Female% (40-44)]]</f>
        <v>0</v>
      </c>
      <c r="EE60" s="1">
        <f>$CU60*Table1[[#This Row],[Male%(55-59)]]</f>
        <v>0</v>
      </c>
      <c r="EF60" s="1">
        <f>$AF60*Table1[[#This Row],[Total% (45-49)]]</f>
        <v>0</v>
      </c>
      <c r="EG60" s="1">
        <f>$CT60*Table1[[#This Row],[Female% (45-49)]]</f>
        <v>0</v>
      </c>
      <c r="EH60" s="1">
        <f>$CU60*Table1[[#This Row],[Male% (45-49)]]</f>
        <v>0</v>
      </c>
      <c r="EI60" s="1">
        <f>$AF60*Table1[[#This Row],[Total% (50-54)]]</f>
        <v>0</v>
      </c>
      <c r="EJ60" s="1">
        <f>$CT60*Table1[[#This Row],[Female%(50-54)]]</f>
        <v>0</v>
      </c>
      <c r="EK60" s="1">
        <f>$CU60*Table1[[#This Row],[Male% (50-54)]]</f>
        <v>0</v>
      </c>
      <c r="EL60" s="1">
        <f>$AF60*Table1[[#This Row],[Total% (55-59)]]</f>
        <v>0</v>
      </c>
      <c r="EM60" s="1">
        <f>$CT60*Table1[[#This Row],[Female% (55-59)]]</f>
        <v>0</v>
      </c>
      <c r="EN60" s="1">
        <f>$CU60*Table1[[#This Row],[Male% (55-59)]]</f>
        <v>0</v>
      </c>
      <c r="EO60" s="1">
        <f>$AF60*Table1[[#This Row],[Total% (60-64)]]</f>
        <v>0</v>
      </c>
      <c r="EP60" s="1">
        <f>$CT60*Table1[[#This Row],[Female%(60-64)]]</f>
        <v>0</v>
      </c>
      <c r="EQ60" s="1">
        <f>$CU60*Table1[[#This Row],[Male%(60-64)]]</f>
        <v>0</v>
      </c>
      <c r="ER60" s="1">
        <f>$AF60*Table1[[#This Row],[Total% (&gt;=65)]]</f>
        <v>0</v>
      </c>
      <c r="ES60" s="1">
        <f>$CT60*Table1[[#This Row],[Female%(&gt;=65)]]</f>
        <v>0</v>
      </c>
      <c r="ET60" s="1">
        <f>$CU60*Table1[[#This Row],[Male% (&gt;=65)]]</f>
        <v>0</v>
      </c>
    </row>
    <row r="61" spans="1:150" hidden="1" x14ac:dyDescent="0.35">
      <c r="A61" t="s">
        <v>104</v>
      </c>
      <c r="B61" t="s">
        <v>105</v>
      </c>
      <c r="C61" t="s">
        <v>458</v>
      </c>
      <c r="D61" t="s">
        <v>459</v>
      </c>
      <c r="E61" t="s">
        <v>460</v>
      </c>
      <c r="F61" t="s">
        <v>461</v>
      </c>
      <c r="H61">
        <v>3</v>
      </c>
      <c r="I61" s="1">
        <v>0</v>
      </c>
      <c r="J61" s="1">
        <v>4305</v>
      </c>
      <c r="K61" s="1">
        <v>23309</v>
      </c>
      <c r="L61" s="1">
        <v>191</v>
      </c>
      <c r="M61" s="1">
        <v>0</v>
      </c>
      <c r="N61" s="1">
        <v>23500</v>
      </c>
      <c r="O61" s="3">
        <v>1</v>
      </c>
      <c r="P61" s="3">
        <v>0</v>
      </c>
      <c r="Q61" s="3">
        <v>0</v>
      </c>
      <c r="R61" s="3">
        <v>0</v>
      </c>
      <c r="S61" s="3">
        <v>0</v>
      </c>
      <c r="T61" s="1">
        <v>27805</v>
      </c>
      <c r="U61" s="1">
        <v>0</v>
      </c>
      <c r="V61" s="10">
        <f>Table1[[#This Row],[Pop NW+RATAA]]*Table1[[#This Row],[Perc_pop_Northern_Aleppo]]</f>
        <v>0</v>
      </c>
      <c r="W61" s="10">
        <f>Table1[[#This Row],[Pop NW+RATAA]]*Table1[[#This Row],[Perc_pop_Afrin District]]</f>
        <v>0</v>
      </c>
      <c r="X61" s="10">
        <f>Table1[[#This Row],[Pop NW+RATAA]]*Table1[[#This Row],[Perc_pop_Euphrates Shiled]]</f>
        <v>0</v>
      </c>
      <c r="Y61" s="10">
        <f>Table1[[#This Row],[Pop NW+RATAA]]*Table1[[#This Row],[Perc_Pop_Idleb_NSAG]]</f>
        <v>0</v>
      </c>
      <c r="Z61" s="3">
        <v>0</v>
      </c>
      <c r="AA61" s="3">
        <v>0</v>
      </c>
      <c r="AB61" s="3">
        <v>0</v>
      </c>
      <c r="AC61" s="3">
        <v>0</v>
      </c>
      <c r="AD61" s="1">
        <v>23500</v>
      </c>
      <c r="AE61" s="1">
        <v>0</v>
      </c>
      <c r="AF61" s="1">
        <v>0</v>
      </c>
      <c r="AG61" s="1">
        <v>0</v>
      </c>
      <c r="AH61" s="1">
        <v>0</v>
      </c>
      <c r="AI61" s="1">
        <f>Table1[[#This Row],[NWS_pin]]*Table1[[#This Row],[Perc_pop_Northern_Aleppo]]</f>
        <v>0</v>
      </c>
      <c r="AJ61" s="1">
        <f>Table1[[#This Row],[NWS_pin]]*Table1[[#This Row],[Perc_pop_Afrin District]]</f>
        <v>0</v>
      </c>
      <c r="AK61" s="1">
        <f>Table1[[#This Row],[NWS_pin]]*Table1[[#This Row],[Perc_pop_Euphrates Shiled]]</f>
        <v>0</v>
      </c>
      <c r="AL61" s="1">
        <f>Table1[[#This Row],[NWS_pin]]*Table1[[#This Row],[Perc_Pop_Idleb_NSAG]]</f>
        <v>0</v>
      </c>
      <c r="AM61" s="4">
        <v>0.54424778761061898</v>
      </c>
      <c r="AN61" s="4">
        <v>0.45575221238938102</v>
      </c>
      <c r="AO61" s="4">
        <v>9.5516717325227998E-2</v>
      </c>
      <c r="AP61" s="4">
        <v>0.46997389033942599</v>
      </c>
      <c r="AQ61" s="4">
        <v>0.46475195822454302</v>
      </c>
      <c r="AR61" s="4">
        <v>2.8720626631853801E-2</v>
      </c>
      <c r="AS61" s="4">
        <v>0</v>
      </c>
      <c r="AT61" s="4">
        <v>3.6553524804177499E-2</v>
      </c>
      <c r="AU61" s="4">
        <v>3.5398230088495602E-2</v>
      </c>
      <c r="AV61" s="4">
        <v>2.0325203252032499E-2</v>
      </c>
      <c r="AW61" s="4">
        <v>5.3398058252427202E-2</v>
      </c>
      <c r="AX61" s="4">
        <v>8.4070796460176997E-2</v>
      </c>
      <c r="AY61" s="4">
        <v>8.5365853658536606E-2</v>
      </c>
      <c r="AZ61" s="4">
        <v>8.2524271844660199E-2</v>
      </c>
      <c r="BA61" s="4">
        <v>5.5309734513274297E-2</v>
      </c>
      <c r="BB61" s="4">
        <v>5.6910569105691103E-2</v>
      </c>
      <c r="BC61" s="4">
        <v>5.3398058252427202E-2</v>
      </c>
      <c r="BD61" s="4">
        <v>4.8672566371681401E-2</v>
      </c>
      <c r="BE61" s="4">
        <v>4.4715447154471497E-2</v>
      </c>
      <c r="BF61" s="4">
        <v>5.3398058252427202E-2</v>
      </c>
      <c r="BG61" s="4">
        <v>6.85840707964602E-2</v>
      </c>
      <c r="BH61" s="4">
        <v>6.0975609756097601E-2</v>
      </c>
      <c r="BI61" s="4">
        <v>7.7669902912621394E-2</v>
      </c>
      <c r="BJ61" s="4">
        <v>8.1858407079646006E-2</v>
      </c>
      <c r="BK61" s="4">
        <v>8.9430894308943104E-2</v>
      </c>
      <c r="BL61" s="4">
        <v>7.2815533980582506E-2</v>
      </c>
      <c r="BM61" s="4">
        <v>3.09734513274336E-2</v>
      </c>
      <c r="BN61" s="4">
        <v>2.4390243902439001E-2</v>
      </c>
      <c r="BO61" s="4">
        <v>3.8834951456310697E-2</v>
      </c>
      <c r="BP61" s="4">
        <v>9.5132743362831895E-2</v>
      </c>
      <c r="BQ61" s="4">
        <v>0.101626016260163</v>
      </c>
      <c r="BR61" s="4">
        <v>8.7378640776699004E-2</v>
      </c>
      <c r="BS61" s="4">
        <v>9.5132743362831895E-2</v>
      </c>
      <c r="BT61" s="4">
        <v>0.117886178861789</v>
      </c>
      <c r="BU61" s="4">
        <v>6.7961165048543701E-2</v>
      </c>
      <c r="BV61" s="4">
        <v>6.6371681415929196E-2</v>
      </c>
      <c r="BW61" s="4">
        <v>6.9105691056910598E-2</v>
      </c>
      <c r="BX61" s="4">
        <v>6.3106796116504896E-2</v>
      </c>
      <c r="BY61" s="4">
        <v>6.4159292035398205E-2</v>
      </c>
      <c r="BZ61" s="4">
        <v>6.0975609756097601E-2</v>
      </c>
      <c r="CA61" s="4">
        <v>6.7961165048543701E-2</v>
      </c>
      <c r="CB61" s="4">
        <v>5.3097345132743397E-2</v>
      </c>
      <c r="CC61" s="4">
        <v>6.50406504065041E-2</v>
      </c>
      <c r="CD61" s="4">
        <v>3.8834951456310697E-2</v>
      </c>
      <c r="CE61" s="4">
        <v>7.7433628318584094E-2</v>
      </c>
      <c r="CF61" s="4">
        <v>8.1300813008130093E-2</v>
      </c>
      <c r="CG61" s="4">
        <v>7.2815533980582506E-2</v>
      </c>
      <c r="CH61" s="4">
        <v>4.8672566371681401E-2</v>
      </c>
      <c r="CI61" s="4">
        <v>4.8780487804878099E-2</v>
      </c>
      <c r="CJ61" s="4">
        <v>4.85436893203883E-2</v>
      </c>
      <c r="CK61" s="4">
        <v>5.3097345132743397E-2</v>
      </c>
      <c r="CL61" s="4">
        <v>3.2520325203252001E-2</v>
      </c>
      <c r="CM61" s="4">
        <v>7.7669902912621394E-2</v>
      </c>
      <c r="CN61" s="4">
        <v>1.9911504424778799E-2</v>
      </c>
      <c r="CO61" s="4">
        <v>2.4390243902439001E-2</v>
      </c>
      <c r="CP61" s="4">
        <v>1.45631067961165E-2</v>
      </c>
      <c r="CQ61" s="4">
        <v>2.21238938053097E-2</v>
      </c>
      <c r="CR61" s="4">
        <v>1.6260162601626001E-2</v>
      </c>
      <c r="CS61" s="4">
        <v>2.9126213592233E-2</v>
      </c>
      <c r="CT61" s="1">
        <f>Table1[[#This Row],[Female %]]*Table1[[#This Row],[NWS_pin]]</f>
        <v>0</v>
      </c>
      <c r="CU61" s="1">
        <f>Table1[[#This Row],[Male %]]*Table1[[#This Row],[NWS_pin]]</f>
        <v>0</v>
      </c>
      <c r="CV61" s="1">
        <f>Table1[[#This Row],[Female% (0-2)22]]+Table1[[#This Row],[Male%(0-2)3]]</f>
        <v>0</v>
      </c>
      <c r="CW61" s="1">
        <f>$CT61*Table1[[#This Row],[Female% (0-2)]]</f>
        <v>0</v>
      </c>
      <c r="CX61" s="1">
        <f>$CU61*Table1[[#This Row],[Male%(0-2)]]</f>
        <v>0</v>
      </c>
      <c r="CY61" s="1">
        <f>Table1[[#This Row],[Female%  (3-5)5]]+Table1[[#This Row],[Male% (3-5)6]]</f>
        <v>0</v>
      </c>
      <c r="CZ61" s="1">
        <f>$AF61*Table1[[#This Row],[Female%  (3-5)]]</f>
        <v>0</v>
      </c>
      <c r="DA61" s="1">
        <f>$CU61*Table1[[#This Row],[Male% (3-5)]]</f>
        <v>0</v>
      </c>
      <c r="DB61" s="1">
        <f>Table1[[#This Row],[Female% (6-8)8]]+Table1[[#This Row],[Male%(6-8)9]]</f>
        <v>0</v>
      </c>
      <c r="DC61" s="1">
        <f>$CT61*Table1[[#This Row],[Female% (6-8)]]</f>
        <v>0</v>
      </c>
      <c r="DD61" s="1">
        <f>$CU61*Table1[[#This Row],[Male%(6-8)]]</f>
        <v>0</v>
      </c>
      <c r="DE61" s="1">
        <f>Table1[[#This Row],[Female% (9 - 11)11]]+Table1[[#This Row],[Male% (9 - 11)12]]</f>
        <v>0</v>
      </c>
      <c r="DF61" s="1">
        <f>$CT61*Table1[[#This Row],[Female% (9 - 11)]]</f>
        <v>0</v>
      </c>
      <c r="DG61" s="1">
        <f>$CU61*Table1[[#This Row],[Male% (9 - 11)]]</f>
        <v>0</v>
      </c>
      <c r="DH61" s="1">
        <f>Table1[[#This Row],[Female% (12-14)14]]+Table1[[#This Row],[Male%(12-14)15]]</f>
        <v>0</v>
      </c>
      <c r="DI61" s="1">
        <f>$CT61*Table1[[#This Row],[Female% (12-14)]]</f>
        <v>0</v>
      </c>
      <c r="DJ61" s="1">
        <f>$CU61*Table1[[#This Row],[Male%(12-14)]]</f>
        <v>0</v>
      </c>
      <c r="DK61" s="1">
        <f>Table1[[#This Row],[Female% (15-17)17]]+Table1[[#This Row],[Male%(15-17)18]]</f>
        <v>0</v>
      </c>
      <c r="DL61" s="1">
        <f>$CT61*Table1[[#This Row],[Female% (15-17)]]</f>
        <v>0</v>
      </c>
      <c r="DM61" s="1">
        <f>$CU61*Table1[[#This Row],[Male%(15-17)]]</f>
        <v>0</v>
      </c>
      <c r="DN61" s="1">
        <f>$AF61*Table1[[#This Row],[Total% (18-19)]]</f>
        <v>0</v>
      </c>
      <c r="DO61" s="1">
        <f>$CT61*Table1[[#This Row],[Female% (18-19)]]</f>
        <v>0</v>
      </c>
      <c r="DP61" s="1">
        <f>$CU61*Table1[[#This Row],[Male%(18-19)]]</f>
        <v>0</v>
      </c>
      <c r="DQ61" s="1">
        <f>$AF61*Table1[[#This Row],[Total% (20-24)]]</f>
        <v>0</v>
      </c>
      <c r="DR61" s="1">
        <f>$CT61*Table1[[#This Row],[Female% (20-24)]]</f>
        <v>0</v>
      </c>
      <c r="DS61" s="1">
        <f>$CU61*Table1[[#This Row],[Male% (20-24)]]</f>
        <v>0</v>
      </c>
      <c r="DT61" s="1">
        <f>$AF61*Table1[[#This Row],[Total% (25-29)]]</f>
        <v>0</v>
      </c>
      <c r="DU61" s="1">
        <f>$CT61*Table1[[#This Row],[Female% (25-29)]]</f>
        <v>0</v>
      </c>
      <c r="DV61" s="1">
        <f>$CU61*Table1[[#This Row],[Male% (25-29)]]</f>
        <v>0</v>
      </c>
      <c r="DW61" s="1">
        <f>$AF61*Table1[[#This Row],[Total%   (30-34)]]</f>
        <v>0</v>
      </c>
      <c r="DX61" s="1">
        <f>$CT61*Table1[[#This Row],[Female%   (30-34)]]</f>
        <v>0</v>
      </c>
      <c r="DY61" s="1">
        <f>$CU61*Table1[[#This Row],[Male%  (30-34)]]</f>
        <v>0</v>
      </c>
      <c r="DZ61" s="1">
        <f>$AF61*Table1[[#This Row],[Total% (35-39)]]</f>
        <v>0</v>
      </c>
      <c r="EA61" s="1">
        <f>$CT61*Table1[[#This Row],[Female% (35-39)]]</f>
        <v>0</v>
      </c>
      <c r="EB61" s="1">
        <f>$CU61*Table1[[#This Row],[Male% (35-39)]]</f>
        <v>0</v>
      </c>
      <c r="EC61" s="1">
        <f>$AF61*Table1[[#This Row],[Total% (40-44)]]</f>
        <v>0</v>
      </c>
      <c r="ED61" s="1">
        <f>$CT61*Table1[[#This Row],[Female% (40-44)]]</f>
        <v>0</v>
      </c>
      <c r="EE61" s="1">
        <f>$CU61*Table1[[#This Row],[Male%(55-59)]]</f>
        <v>0</v>
      </c>
      <c r="EF61" s="1">
        <f>$AF61*Table1[[#This Row],[Total% (45-49)]]</f>
        <v>0</v>
      </c>
      <c r="EG61" s="1">
        <f>$CT61*Table1[[#This Row],[Female% (45-49)]]</f>
        <v>0</v>
      </c>
      <c r="EH61" s="1">
        <f>$CU61*Table1[[#This Row],[Male% (45-49)]]</f>
        <v>0</v>
      </c>
      <c r="EI61" s="1">
        <f>$AF61*Table1[[#This Row],[Total% (50-54)]]</f>
        <v>0</v>
      </c>
      <c r="EJ61" s="1">
        <f>$CT61*Table1[[#This Row],[Female%(50-54)]]</f>
        <v>0</v>
      </c>
      <c r="EK61" s="1">
        <f>$CU61*Table1[[#This Row],[Male% (50-54)]]</f>
        <v>0</v>
      </c>
      <c r="EL61" s="1">
        <f>$AF61*Table1[[#This Row],[Total% (55-59)]]</f>
        <v>0</v>
      </c>
      <c r="EM61" s="1">
        <f>$CT61*Table1[[#This Row],[Female% (55-59)]]</f>
        <v>0</v>
      </c>
      <c r="EN61" s="1">
        <f>$CU61*Table1[[#This Row],[Male% (55-59)]]</f>
        <v>0</v>
      </c>
      <c r="EO61" s="1">
        <f>$AF61*Table1[[#This Row],[Total% (60-64)]]</f>
        <v>0</v>
      </c>
      <c r="EP61" s="1">
        <f>$CT61*Table1[[#This Row],[Female%(60-64)]]</f>
        <v>0</v>
      </c>
      <c r="EQ61" s="1">
        <f>$CU61*Table1[[#This Row],[Male%(60-64)]]</f>
        <v>0</v>
      </c>
      <c r="ER61" s="1">
        <f>$AF61*Table1[[#This Row],[Total% (&gt;=65)]]</f>
        <v>0</v>
      </c>
      <c r="ES61" s="1">
        <f>$CT61*Table1[[#This Row],[Female%(&gt;=65)]]</f>
        <v>0</v>
      </c>
      <c r="ET61" s="1">
        <f>$CU61*Table1[[#This Row],[Male% (&gt;=65)]]</f>
        <v>0</v>
      </c>
    </row>
    <row r="62" spans="1:150" hidden="1" x14ac:dyDescent="0.35">
      <c r="A62" t="s">
        <v>104</v>
      </c>
      <c r="B62" t="s">
        <v>105</v>
      </c>
      <c r="C62" t="s">
        <v>392</v>
      </c>
      <c r="D62" t="s">
        <v>393</v>
      </c>
      <c r="E62" t="s">
        <v>392</v>
      </c>
      <c r="F62" t="s">
        <v>394</v>
      </c>
      <c r="H62">
        <v>4</v>
      </c>
      <c r="I62" s="1">
        <v>0</v>
      </c>
      <c r="J62" s="1">
        <v>0</v>
      </c>
      <c r="K62" s="1">
        <v>99206</v>
      </c>
      <c r="L62" s="1">
        <v>162527</v>
      </c>
      <c r="M62" s="1">
        <v>0</v>
      </c>
      <c r="N62" s="1">
        <v>261733</v>
      </c>
      <c r="O62" s="3">
        <v>1</v>
      </c>
      <c r="P62" s="3">
        <v>0</v>
      </c>
      <c r="Q62" s="3">
        <v>0</v>
      </c>
      <c r="R62" s="3">
        <v>0</v>
      </c>
      <c r="S62" s="3">
        <v>0</v>
      </c>
      <c r="T62" s="1">
        <v>261733</v>
      </c>
      <c r="U62" s="1">
        <v>0</v>
      </c>
      <c r="V62" s="10">
        <f>Table1[[#This Row],[Pop NW+RATAA]]*Table1[[#This Row],[Perc_pop_Northern_Aleppo]]</f>
        <v>0</v>
      </c>
      <c r="W62" s="10">
        <f>Table1[[#This Row],[Pop NW+RATAA]]*Table1[[#This Row],[Perc_pop_Afrin District]]</f>
        <v>0</v>
      </c>
      <c r="X62" s="10">
        <f>Table1[[#This Row],[Pop NW+RATAA]]*Table1[[#This Row],[Perc_pop_Euphrates Shiled]]</f>
        <v>0</v>
      </c>
      <c r="Y62" s="10">
        <f>Table1[[#This Row],[Pop NW+RATAA]]*Table1[[#This Row],[Perc_Pop_Idleb_NSAG]]</f>
        <v>0</v>
      </c>
      <c r="Z62" s="3">
        <v>0</v>
      </c>
      <c r="AA62" s="3">
        <v>0</v>
      </c>
      <c r="AB62" s="3">
        <v>0</v>
      </c>
      <c r="AC62" s="3">
        <v>0</v>
      </c>
      <c r="AD62" s="1">
        <v>261733</v>
      </c>
      <c r="AE62" s="1">
        <v>0</v>
      </c>
      <c r="AF62" s="1">
        <v>0</v>
      </c>
      <c r="AG62" s="1">
        <v>0</v>
      </c>
      <c r="AH62" s="1">
        <v>0</v>
      </c>
      <c r="AI62" s="1">
        <f>Table1[[#This Row],[NWS_pin]]*Table1[[#This Row],[Perc_pop_Northern_Aleppo]]</f>
        <v>0</v>
      </c>
      <c r="AJ62" s="1">
        <f>Table1[[#This Row],[NWS_pin]]*Table1[[#This Row],[Perc_pop_Afrin District]]</f>
        <v>0</v>
      </c>
      <c r="AK62" s="1">
        <f>Table1[[#This Row],[NWS_pin]]*Table1[[#This Row],[Perc_pop_Euphrates Shiled]]</f>
        <v>0</v>
      </c>
      <c r="AL62" s="1">
        <f>Table1[[#This Row],[NWS_pin]]*Table1[[#This Row],[Perc_Pop_Idleb_NSAG]]</f>
        <v>0</v>
      </c>
      <c r="AM62" s="4">
        <v>0.58379045249820605</v>
      </c>
      <c r="AN62" s="4">
        <v>0.41620954750179401</v>
      </c>
      <c r="AO62" s="4">
        <v>0.15597853500910699</v>
      </c>
      <c r="AP62" s="4">
        <v>0.44557476402630303</v>
      </c>
      <c r="AQ62" s="4">
        <v>0.48207854926754601</v>
      </c>
      <c r="AR62" s="4">
        <v>1.8705873712921799E-2</v>
      </c>
      <c r="AS62" s="4">
        <v>2.7476338504565101E-3</v>
      </c>
      <c r="AT62" s="4">
        <v>5.0893179142772402E-2</v>
      </c>
      <c r="AU62" s="4">
        <v>3.32596257449344E-2</v>
      </c>
      <c r="AV62" s="4">
        <v>2.4371459341665801E-2</v>
      </c>
      <c r="AW62" s="4">
        <v>4.5726487011304502E-2</v>
      </c>
      <c r="AX62" s="4">
        <v>8.8962798863026202E-2</v>
      </c>
      <c r="AY62" s="4">
        <v>9.0665515894631496E-2</v>
      </c>
      <c r="AZ62" s="4">
        <v>8.6574506830025696E-2</v>
      </c>
      <c r="BA62" s="4">
        <v>9.3836357476186294E-2</v>
      </c>
      <c r="BB62" s="4">
        <v>7.7378206565852606E-2</v>
      </c>
      <c r="BC62" s="4">
        <v>0.11692115076095901</v>
      </c>
      <c r="BD62" s="4">
        <v>6.3963291725089799E-2</v>
      </c>
      <c r="BE62" s="4">
        <v>6.1060158359775497E-2</v>
      </c>
      <c r="BF62" s="4">
        <v>6.8035330800532104E-2</v>
      </c>
      <c r="BG62" s="4">
        <v>5.8365790294187002E-2</v>
      </c>
      <c r="BH62" s="4">
        <v>5.3754765781601703E-2</v>
      </c>
      <c r="BI62" s="4">
        <v>6.4833378803003994E-2</v>
      </c>
      <c r="BJ62" s="4">
        <v>7.8434800370943705E-2</v>
      </c>
      <c r="BK62" s="4">
        <v>6.1890577564607203E-2</v>
      </c>
      <c r="BL62" s="4">
        <v>0.10164032118687499</v>
      </c>
      <c r="BM62" s="4">
        <v>2.7851826407134898E-2</v>
      </c>
      <c r="BN62" s="4">
        <v>3.47522779205773E-2</v>
      </c>
      <c r="BO62" s="4">
        <v>1.81730054006152E-2</v>
      </c>
      <c r="BP62" s="4">
        <v>6.47540336667035E-2</v>
      </c>
      <c r="BQ62" s="4">
        <v>9.6681728007272497E-2</v>
      </c>
      <c r="BR62" s="4">
        <v>1.99711034379709E-2</v>
      </c>
      <c r="BS62" s="4">
        <v>7.9515583336769793E-2</v>
      </c>
      <c r="BT62" s="4">
        <v>9.58137070600074E-2</v>
      </c>
      <c r="BU62" s="4">
        <v>5.6655249929306102E-2</v>
      </c>
      <c r="BV62" s="4">
        <v>7.38688037135216E-2</v>
      </c>
      <c r="BW62" s="4">
        <v>8.3727286465884093E-2</v>
      </c>
      <c r="BX62" s="4">
        <v>6.0040941903305299E-2</v>
      </c>
      <c r="BY62" s="4">
        <v>8.6480374576084207E-2</v>
      </c>
      <c r="BZ62" s="4">
        <v>7.6981058507601299E-2</v>
      </c>
      <c r="CA62" s="4">
        <v>9.9804456302054798E-2</v>
      </c>
      <c r="CB62" s="4">
        <v>4.71022034723729E-2</v>
      </c>
      <c r="CC62" s="4">
        <v>3.6456146341322E-2</v>
      </c>
      <c r="CD62" s="4">
        <v>6.2034745378637603E-2</v>
      </c>
      <c r="CE62" s="4">
        <v>2.6701189831988902E-2</v>
      </c>
      <c r="CF62" s="4">
        <v>3.4494807764945297E-2</v>
      </c>
      <c r="CG62" s="4">
        <v>1.57695815423948E-2</v>
      </c>
      <c r="CH62" s="4">
        <v>5.6498038844033399E-2</v>
      </c>
      <c r="CI62" s="4">
        <v>5.67387662460795E-2</v>
      </c>
      <c r="CJ62" s="4">
        <v>5.61603859482439E-2</v>
      </c>
      <c r="CK62" s="4">
        <v>6.7163457125247905E-2</v>
      </c>
      <c r="CL62" s="4">
        <v>6.1306583714459101E-2</v>
      </c>
      <c r="CM62" s="4">
        <v>7.5378518022413896E-2</v>
      </c>
      <c r="CN62" s="4">
        <v>2.1154157247429601E-2</v>
      </c>
      <c r="CO62" s="4">
        <v>2.51775807688428E-2</v>
      </c>
      <c r="CP62" s="4">
        <v>1.5510758982646601E-2</v>
      </c>
      <c r="CQ62" s="4">
        <v>3.2087667304345799E-2</v>
      </c>
      <c r="CR62" s="4">
        <v>2.87493736948745E-2</v>
      </c>
      <c r="CS62" s="4">
        <v>3.6770077759710897E-2</v>
      </c>
      <c r="CT62" s="1">
        <f>Table1[[#This Row],[Female %]]*Table1[[#This Row],[NWS_pin]]</f>
        <v>0</v>
      </c>
      <c r="CU62" s="1">
        <f>Table1[[#This Row],[Male %]]*Table1[[#This Row],[NWS_pin]]</f>
        <v>0</v>
      </c>
      <c r="CV62" s="1">
        <f>Table1[[#This Row],[Female% (0-2)22]]+Table1[[#This Row],[Male%(0-2)3]]</f>
        <v>0</v>
      </c>
      <c r="CW62" s="1">
        <f>$CT62*Table1[[#This Row],[Female% (0-2)]]</f>
        <v>0</v>
      </c>
      <c r="CX62" s="1">
        <f>$CU62*Table1[[#This Row],[Male%(0-2)]]</f>
        <v>0</v>
      </c>
      <c r="CY62" s="1">
        <f>Table1[[#This Row],[Female%  (3-5)5]]+Table1[[#This Row],[Male% (3-5)6]]</f>
        <v>0</v>
      </c>
      <c r="CZ62" s="1">
        <f>$AF62*Table1[[#This Row],[Female%  (3-5)]]</f>
        <v>0</v>
      </c>
      <c r="DA62" s="1">
        <f>$CU62*Table1[[#This Row],[Male% (3-5)]]</f>
        <v>0</v>
      </c>
      <c r="DB62" s="1">
        <f>Table1[[#This Row],[Female% (6-8)8]]+Table1[[#This Row],[Male%(6-8)9]]</f>
        <v>0</v>
      </c>
      <c r="DC62" s="1">
        <f>$CT62*Table1[[#This Row],[Female% (6-8)]]</f>
        <v>0</v>
      </c>
      <c r="DD62" s="1">
        <f>$CU62*Table1[[#This Row],[Male%(6-8)]]</f>
        <v>0</v>
      </c>
      <c r="DE62" s="1">
        <f>Table1[[#This Row],[Female% (9 - 11)11]]+Table1[[#This Row],[Male% (9 - 11)12]]</f>
        <v>0</v>
      </c>
      <c r="DF62" s="1">
        <f>$CT62*Table1[[#This Row],[Female% (9 - 11)]]</f>
        <v>0</v>
      </c>
      <c r="DG62" s="1">
        <f>$CU62*Table1[[#This Row],[Male% (9 - 11)]]</f>
        <v>0</v>
      </c>
      <c r="DH62" s="1">
        <f>Table1[[#This Row],[Female% (12-14)14]]+Table1[[#This Row],[Male%(12-14)15]]</f>
        <v>0</v>
      </c>
      <c r="DI62" s="1">
        <f>$CT62*Table1[[#This Row],[Female% (12-14)]]</f>
        <v>0</v>
      </c>
      <c r="DJ62" s="1">
        <f>$CU62*Table1[[#This Row],[Male%(12-14)]]</f>
        <v>0</v>
      </c>
      <c r="DK62" s="1">
        <f>Table1[[#This Row],[Female% (15-17)17]]+Table1[[#This Row],[Male%(15-17)18]]</f>
        <v>0</v>
      </c>
      <c r="DL62" s="1">
        <f>$CT62*Table1[[#This Row],[Female% (15-17)]]</f>
        <v>0</v>
      </c>
      <c r="DM62" s="1">
        <f>$CU62*Table1[[#This Row],[Male%(15-17)]]</f>
        <v>0</v>
      </c>
      <c r="DN62" s="1">
        <f>$AF62*Table1[[#This Row],[Total% (18-19)]]</f>
        <v>0</v>
      </c>
      <c r="DO62" s="1">
        <f>$CT62*Table1[[#This Row],[Female% (18-19)]]</f>
        <v>0</v>
      </c>
      <c r="DP62" s="1">
        <f>$CU62*Table1[[#This Row],[Male%(18-19)]]</f>
        <v>0</v>
      </c>
      <c r="DQ62" s="1">
        <f>$AF62*Table1[[#This Row],[Total% (20-24)]]</f>
        <v>0</v>
      </c>
      <c r="DR62" s="1">
        <f>$CT62*Table1[[#This Row],[Female% (20-24)]]</f>
        <v>0</v>
      </c>
      <c r="DS62" s="1">
        <f>$CU62*Table1[[#This Row],[Male% (20-24)]]</f>
        <v>0</v>
      </c>
      <c r="DT62" s="1">
        <f>$AF62*Table1[[#This Row],[Total% (25-29)]]</f>
        <v>0</v>
      </c>
      <c r="DU62" s="1">
        <f>$CT62*Table1[[#This Row],[Female% (25-29)]]</f>
        <v>0</v>
      </c>
      <c r="DV62" s="1">
        <f>$CU62*Table1[[#This Row],[Male% (25-29)]]</f>
        <v>0</v>
      </c>
      <c r="DW62" s="1">
        <f>$AF62*Table1[[#This Row],[Total%   (30-34)]]</f>
        <v>0</v>
      </c>
      <c r="DX62" s="1">
        <f>$CT62*Table1[[#This Row],[Female%   (30-34)]]</f>
        <v>0</v>
      </c>
      <c r="DY62" s="1">
        <f>$CU62*Table1[[#This Row],[Male%  (30-34)]]</f>
        <v>0</v>
      </c>
      <c r="DZ62" s="1">
        <f>$AF62*Table1[[#This Row],[Total% (35-39)]]</f>
        <v>0</v>
      </c>
      <c r="EA62" s="1">
        <f>$CT62*Table1[[#This Row],[Female% (35-39)]]</f>
        <v>0</v>
      </c>
      <c r="EB62" s="1">
        <f>$CU62*Table1[[#This Row],[Male% (35-39)]]</f>
        <v>0</v>
      </c>
      <c r="EC62" s="1">
        <f>$AF62*Table1[[#This Row],[Total% (40-44)]]</f>
        <v>0</v>
      </c>
      <c r="ED62" s="1">
        <f>$CT62*Table1[[#This Row],[Female% (40-44)]]</f>
        <v>0</v>
      </c>
      <c r="EE62" s="1">
        <f>$CU62*Table1[[#This Row],[Male%(55-59)]]</f>
        <v>0</v>
      </c>
      <c r="EF62" s="1">
        <f>$AF62*Table1[[#This Row],[Total% (45-49)]]</f>
        <v>0</v>
      </c>
      <c r="EG62" s="1">
        <f>$CT62*Table1[[#This Row],[Female% (45-49)]]</f>
        <v>0</v>
      </c>
      <c r="EH62" s="1">
        <f>$CU62*Table1[[#This Row],[Male% (45-49)]]</f>
        <v>0</v>
      </c>
      <c r="EI62" s="1">
        <f>$AF62*Table1[[#This Row],[Total% (50-54)]]</f>
        <v>0</v>
      </c>
      <c r="EJ62" s="1">
        <f>$CT62*Table1[[#This Row],[Female%(50-54)]]</f>
        <v>0</v>
      </c>
      <c r="EK62" s="1">
        <f>$CU62*Table1[[#This Row],[Male% (50-54)]]</f>
        <v>0</v>
      </c>
      <c r="EL62" s="1">
        <f>$AF62*Table1[[#This Row],[Total% (55-59)]]</f>
        <v>0</v>
      </c>
      <c r="EM62" s="1">
        <f>$CT62*Table1[[#This Row],[Female% (55-59)]]</f>
        <v>0</v>
      </c>
      <c r="EN62" s="1">
        <f>$CU62*Table1[[#This Row],[Male% (55-59)]]</f>
        <v>0</v>
      </c>
      <c r="EO62" s="1">
        <f>$AF62*Table1[[#This Row],[Total% (60-64)]]</f>
        <v>0</v>
      </c>
      <c r="EP62" s="1">
        <f>$CT62*Table1[[#This Row],[Female%(60-64)]]</f>
        <v>0</v>
      </c>
      <c r="EQ62" s="1">
        <f>$CU62*Table1[[#This Row],[Male%(60-64)]]</f>
        <v>0</v>
      </c>
      <c r="ER62" s="1">
        <f>$AF62*Table1[[#This Row],[Total% (&gt;=65)]]</f>
        <v>0</v>
      </c>
      <c r="ES62" s="1">
        <f>$CT62*Table1[[#This Row],[Female%(&gt;=65)]]</f>
        <v>0</v>
      </c>
      <c r="ET62" s="1">
        <f>$CU62*Table1[[#This Row],[Male% (&gt;=65)]]</f>
        <v>0</v>
      </c>
    </row>
    <row r="63" spans="1:150" hidden="1" x14ac:dyDescent="0.35">
      <c r="A63" t="s">
        <v>104</v>
      </c>
      <c r="B63" t="s">
        <v>105</v>
      </c>
      <c r="C63" t="s">
        <v>392</v>
      </c>
      <c r="D63" t="s">
        <v>393</v>
      </c>
      <c r="E63" t="s">
        <v>528</v>
      </c>
      <c r="F63" t="s">
        <v>529</v>
      </c>
      <c r="H63">
        <v>3</v>
      </c>
      <c r="I63" s="1">
        <v>0</v>
      </c>
      <c r="J63" s="1">
        <v>1690</v>
      </c>
      <c r="K63" s="1">
        <v>8212</v>
      </c>
      <c r="L63" s="1">
        <v>2468</v>
      </c>
      <c r="M63" s="1">
        <v>0</v>
      </c>
      <c r="N63" s="1">
        <v>10680</v>
      </c>
      <c r="O63" s="3">
        <v>1</v>
      </c>
      <c r="P63" s="3">
        <v>0</v>
      </c>
      <c r="Q63" s="3">
        <v>0</v>
      </c>
      <c r="R63" s="3">
        <v>0</v>
      </c>
      <c r="S63" s="3">
        <v>0</v>
      </c>
      <c r="T63" s="1">
        <v>12370</v>
      </c>
      <c r="U63" s="1">
        <v>0</v>
      </c>
      <c r="V63" s="10">
        <f>Table1[[#This Row],[Pop NW+RATAA]]*Table1[[#This Row],[Perc_pop_Northern_Aleppo]]</f>
        <v>0</v>
      </c>
      <c r="W63" s="10">
        <f>Table1[[#This Row],[Pop NW+RATAA]]*Table1[[#This Row],[Perc_pop_Afrin District]]</f>
        <v>0</v>
      </c>
      <c r="X63" s="10">
        <f>Table1[[#This Row],[Pop NW+RATAA]]*Table1[[#This Row],[Perc_pop_Euphrates Shiled]]</f>
        <v>0</v>
      </c>
      <c r="Y63" s="10">
        <f>Table1[[#This Row],[Pop NW+RATAA]]*Table1[[#This Row],[Perc_Pop_Idleb_NSAG]]</f>
        <v>0</v>
      </c>
      <c r="Z63" s="3">
        <v>0</v>
      </c>
      <c r="AA63" s="3">
        <v>0</v>
      </c>
      <c r="AB63" s="3">
        <v>0</v>
      </c>
      <c r="AC63" s="3">
        <v>0</v>
      </c>
      <c r="AD63" s="1">
        <v>10680</v>
      </c>
      <c r="AE63" s="1">
        <v>0</v>
      </c>
      <c r="AF63" s="1">
        <v>0</v>
      </c>
      <c r="AG63" s="1">
        <v>0</v>
      </c>
      <c r="AH63" s="1">
        <v>0</v>
      </c>
      <c r="AI63" s="1">
        <f>Table1[[#This Row],[NWS_pin]]*Table1[[#This Row],[Perc_pop_Northern_Aleppo]]</f>
        <v>0</v>
      </c>
      <c r="AJ63" s="1">
        <f>Table1[[#This Row],[NWS_pin]]*Table1[[#This Row],[Perc_pop_Afrin District]]</f>
        <v>0</v>
      </c>
      <c r="AK63" s="1">
        <f>Table1[[#This Row],[NWS_pin]]*Table1[[#This Row],[Perc_pop_Euphrates Shiled]]</f>
        <v>0</v>
      </c>
      <c r="AL63" s="1">
        <f>Table1[[#This Row],[NWS_pin]]*Table1[[#This Row],[Perc_Pop_Idleb_NSAG]]</f>
        <v>0</v>
      </c>
      <c r="AM63" s="4">
        <v>0.58012570321627099</v>
      </c>
      <c r="AN63" s="4">
        <v>0.41987429678372901</v>
      </c>
      <c r="AO63" s="4">
        <v>0.213318885326367</v>
      </c>
      <c r="AP63" s="4">
        <v>0.44020505365868401</v>
      </c>
      <c r="AQ63" s="4">
        <v>0.42902187332254998</v>
      </c>
      <c r="AR63" s="4">
        <v>2.3247733548572899E-2</v>
      </c>
      <c r="AS63" s="4">
        <v>1.17764396623532E-2</v>
      </c>
      <c r="AT63" s="4">
        <v>9.5748899807840598E-2</v>
      </c>
      <c r="AU63" s="4">
        <v>2.48799939822449E-2</v>
      </c>
      <c r="AV63" s="4">
        <v>1.3053709218319999E-2</v>
      </c>
      <c r="AW63" s="4">
        <v>4.1219960057000099E-2</v>
      </c>
      <c r="AX63" s="4">
        <v>8.8237886302565502E-2</v>
      </c>
      <c r="AY63" s="4">
        <v>7.6724866621150203E-2</v>
      </c>
      <c r="AZ63" s="4">
        <v>0.104145024915206</v>
      </c>
      <c r="BA63" s="4">
        <v>6.4327219336212202E-2</v>
      </c>
      <c r="BB63" s="4">
        <v>7.2896517061156796E-2</v>
      </c>
      <c r="BC63" s="4">
        <v>5.2487318902121799E-2</v>
      </c>
      <c r="BD63" s="4">
        <v>6.53079572649303E-2</v>
      </c>
      <c r="BE63" s="4">
        <v>2.9232834153681601E-2</v>
      </c>
      <c r="BF63" s="4">
        <v>0.115151699365453</v>
      </c>
      <c r="BG63" s="4">
        <v>6.4073476669412793E-2</v>
      </c>
      <c r="BH63" s="4">
        <v>5.0083777498145597E-2</v>
      </c>
      <c r="BI63" s="4">
        <v>8.3402557138693795E-2</v>
      </c>
      <c r="BJ63" s="4">
        <v>7.2339632007069998E-2</v>
      </c>
      <c r="BK63" s="4">
        <v>6.4764121179997095E-2</v>
      </c>
      <c r="BL63" s="4">
        <v>8.2806451670579304E-2</v>
      </c>
      <c r="BM63" s="4">
        <v>3.8012603353216802E-2</v>
      </c>
      <c r="BN63" s="4">
        <v>4.0069040733411602E-2</v>
      </c>
      <c r="BO63" s="4">
        <v>3.5171295394039299E-2</v>
      </c>
      <c r="BP63" s="4">
        <v>6.8845340241139599E-2</v>
      </c>
      <c r="BQ63" s="4">
        <v>8.5509727972884794E-2</v>
      </c>
      <c r="BR63" s="4">
        <v>4.5820735673533002E-2</v>
      </c>
      <c r="BS63" s="4">
        <v>7.9404338338970495E-2</v>
      </c>
      <c r="BT63" s="4">
        <v>0.102640505242758</v>
      </c>
      <c r="BU63" s="4">
        <v>4.72997352032999E-2</v>
      </c>
      <c r="BV63" s="4">
        <v>6.5734515203614993E-2</v>
      </c>
      <c r="BW63" s="4">
        <v>8.0374376974413297E-2</v>
      </c>
      <c r="BX63" s="4">
        <v>4.5507127697806397E-2</v>
      </c>
      <c r="BY63" s="4">
        <v>8.8210109738448395E-2</v>
      </c>
      <c r="BZ63" s="4">
        <v>0.10476587075024001</v>
      </c>
      <c r="CA63" s="4">
        <v>6.5335590929327406E-2</v>
      </c>
      <c r="CB63" s="4">
        <v>4.2695131488999498E-2</v>
      </c>
      <c r="CC63" s="4">
        <v>3.6713541000764502E-2</v>
      </c>
      <c r="CD63" s="4">
        <v>5.0959686892652803E-2</v>
      </c>
      <c r="CE63" s="4">
        <v>5.2348013022253802E-2</v>
      </c>
      <c r="CF63" s="4">
        <v>6.4434912104800304E-2</v>
      </c>
      <c r="CG63" s="4">
        <v>3.5647965213473298E-2</v>
      </c>
      <c r="CH63" s="4">
        <v>5.2286904581196197E-2</v>
      </c>
      <c r="CI63" s="4">
        <v>5.48930251674127E-2</v>
      </c>
      <c r="CJ63" s="4">
        <v>4.8686118466575001E-2</v>
      </c>
      <c r="CK63" s="4">
        <v>5.2286904581196197E-2</v>
      </c>
      <c r="CL63" s="4">
        <v>5.1496115488200003E-2</v>
      </c>
      <c r="CM63" s="4">
        <v>5.3379510349599597E-2</v>
      </c>
      <c r="CN63" s="4">
        <v>2.15876453446253E-2</v>
      </c>
      <c r="CO63" s="4">
        <v>2.1055404955631799E-2</v>
      </c>
      <c r="CP63" s="4">
        <v>2.23230233668337E-2</v>
      </c>
      <c r="CQ63" s="4">
        <v>5.9422328543903002E-2</v>
      </c>
      <c r="CR63" s="4">
        <v>5.1291653877032099E-2</v>
      </c>
      <c r="CS63" s="4">
        <v>7.06561987638053E-2</v>
      </c>
      <c r="CT63" s="1">
        <f>Table1[[#This Row],[Female %]]*Table1[[#This Row],[NWS_pin]]</f>
        <v>0</v>
      </c>
      <c r="CU63" s="1">
        <f>Table1[[#This Row],[Male %]]*Table1[[#This Row],[NWS_pin]]</f>
        <v>0</v>
      </c>
      <c r="CV63" s="1">
        <f>Table1[[#This Row],[Female% (0-2)22]]+Table1[[#This Row],[Male%(0-2)3]]</f>
        <v>0</v>
      </c>
      <c r="CW63" s="1">
        <f>$CT63*Table1[[#This Row],[Female% (0-2)]]</f>
        <v>0</v>
      </c>
      <c r="CX63" s="1">
        <f>$CU63*Table1[[#This Row],[Male%(0-2)]]</f>
        <v>0</v>
      </c>
      <c r="CY63" s="1">
        <f>Table1[[#This Row],[Female%  (3-5)5]]+Table1[[#This Row],[Male% (3-5)6]]</f>
        <v>0</v>
      </c>
      <c r="CZ63" s="1">
        <f>$AF63*Table1[[#This Row],[Female%  (3-5)]]</f>
        <v>0</v>
      </c>
      <c r="DA63" s="1">
        <f>$CU63*Table1[[#This Row],[Male% (3-5)]]</f>
        <v>0</v>
      </c>
      <c r="DB63" s="1">
        <f>Table1[[#This Row],[Female% (6-8)8]]+Table1[[#This Row],[Male%(6-8)9]]</f>
        <v>0</v>
      </c>
      <c r="DC63" s="1">
        <f>$CT63*Table1[[#This Row],[Female% (6-8)]]</f>
        <v>0</v>
      </c>
      <c r="DD63" s="1">
        <f>$CU63*Table1[[#This Row],[Male%(6-8)]]</f>
        <v>0</v>
      </c>
      <c r="DE63" s="1">
        <f>Table1[[#This Row],[Female% (9 - 11)11]]+Table1[[#This Row],[Male% (9 - 11)12]]</f>
        <v>0</v>
      </c>
      <c r="DF63" s="1">
        <f>$CT63*Table1[[#This Row],[Female% (9 - 11)]]</f>
        <v>0</v>
      </c>
      <c r="DG63" s="1">
        <f>$CU63*Table1[[#This Row],[Male% (9 - 11)]]</f>
        <v>0</v>
      </c>
      <c r="DH63" s="1">
        <f>Table1[[#This Row],[Female% (12-14)14]]+Table1[[#This Row],[Male%(12-14)15]]</f>
        <v>0</v>
      </c>
      <c r="DI63" s="1">
        <f>$CT63*Table1[[#This Row],[Female% (12-14)]]</f>
        <v>0</v>
      </c>
      <c r="DJ63" s="1">
        <f>$CU63*Table1[[#This Row],[Male%(12-14)]]</f>
        <v>0</v>
      </c>
      <c r="DK63" s="1">
        <f>Table1[[#This Row],[Female% (15-17)17]]+Table1[[#This Row],[Male%(15-17)18]]</f>
        <v>0</v>
      </c>
      <c r="DL63" s="1">
        <f>$CT63*Table1[[#This Row],[Female% (15-17)]]</f>
        <v>0</v>
      </c>
      <c r="DM63" s="1">
        <f>$CU63*Table1[[#This Row],[Male%(15-17)]]</f>
        <v>0</v>
      </c>
      <c r="DN63" s="1">
        <f>$AF63*Table1[[#This Row],[Total% (18-19)]]</f>
        <v>0</v>
      </c>
      <c r="DO63" s="1">
        <f>$CT63*Table1[[#This Row],[Female% (18-19)]]</f>
        <v>0</v>
      </c>
      <c r="DP63" s="1">
        <f>$CU63*Table1[[#This Row],[Male%(18-19)]]</f>
        <v>0</v>
      </c>
      <c r="DQ63" s="1">
        <f>$AF63*Table1[[#This Row],[Total% (20-24)]]</f>
        <v>0</v>
      </c>
      <c r="DR63" s="1">
        <f>$CT63*Table1[[#This Row],[Female% (20-24)]]</f>
        <v>0</v>
      </c>
      <c r="DS63" s="1">
        <f>$CU63*Table1[[#This Row],[Male% (20-24)]]</f>
        <v>0</v>
      </c>
      <c r="DT63" s="1">
        <f>$AF63*Table1[[#This Row],[Total% (25-29)]]</f>
        <v>0</v>
      </c>
      <c r="DU63" s="1">
        <f>$CT63*Table1[[#This Row],[Female% (25-29)]]</f>
        <v>0</v>
      </c>
      <c r="DV63" s="1">
        <f>$CU63*Table1[[#This Row],[Male% (25-29)]]</f>
        <v>0</v>
      </c>
      <c r="DW63" s="1">
        <f>$AF63*Table1[[#This Row],[Total%   (30-34)]]</f>
        <v>0</v>
      </c>
      <c r="DX63" s="1">
        <f>$CT63*Table1[[#This Row],[Female%   (30-34)]]</f>
        <v>0</v>
      </c>
      <c r="DY63" s="1">
        <f>$CU63*Table1[[#This Row],[Male%  (30-34)]]</f>
        <v>0</v>
      </c>
      <c r="DZ63" s="1">
        <f>$AF63*Table1[[#This Row],[Total% (35-39)]]</f>
        <v>0</v>
      </c>
      <c r="EA63" s="1">
        <f>$CT63*Table1[[#This Row],[Female% (35-39)]]</f>
        <v>0</v>
      </c>
      <c r="EB63" s="1">
        <f>$CU63*Table1[[#This Row],[Male% (35-39)]]</f>
        <v>0</v>
      </c>
      <c r="EC63" s="1">
        <f>$AF63*Table1[[#This Row],[Total% (40-44)]]</f>
        <v>0</v>
      </c>
      <c r="ED63" s="1">
        <f>$CT63*Table1[[#This Row],[Female% (40-44)]]</f>
        <v>0</v>
      </c>
      <c r="EE63" s="1">
        <f>$CU63*Table1[[#This Row],[Male%(55-59)]]</f>
        <v>0</v>
      </c>
      <c r="EF63" s="1">
        <f>$AF63*Table1[[#This Row],[Total% (45-49)]]</f>
        <v>0</v>
      </c>
      <c r="EG63" s="1">
        <f>$CT63*Table1[[#This Row],[Female% (45-49)]]</f>
        <v>0</v>
      </c>
      <c r="EH63" s="1">
        <f>$CU63*Table1[[#This Row],[Male% (45-49)]]</f>
        <v>0</v>
      </c>
      <c r="EI63" s="1">
        <f>$AF63*Table1[[#This Row],[Total% (50-54)]]</f>
        <v>0</v>
      </c>
      <c r="EJ63" s="1">
        <f>$CT63*Table1[[#This Row],[Female%(50-54)]]</f>
        <v>0</v>
      </c>
      <c r="EK63" s="1">
        <f>$CU63*Table1[[#This Row],[Male% (50-54)]]</f>
        <v>0</v>
      </c>
      <c r="EL63" s="1">
        <f>$AF63*Table1[[#This Row],[Total% (55-59)]]</f>
        <v>0</v>
      </c>
      <c r="EM63" s="1">
        <f>$CT63*Table1[[#This Row],[Female% (55-59)]]</f>
        <v>0</v>
      </c>
      <c r="EN63" s="1">
        <f>$CU63*Table1[[#This Row],[Male% (55-59)]]</f>
        <v>0</v>
      </c>
      <c r="EO63" s="1">
        <f>$AF63*Table1[[#This Row],[Total% (60-64)]]</f>
        <v>0</v>
      </c>
      <c r="EP63" s="1">
        <f>$CT63*Table1[[#This Row],[Female%(60-64)]]</f>
        <v>0</v>
      </c>
      <c r="EQ63" s="1">
        <f>$CU63*Table1[[#This Row],[Male%(60-64)]]</f>
        <v>0</v>
      </c>
      <c r="ER63" s="1">
        <f>$AF63*Table1[[#This Row],[Total% (&gt;=65)]]</f>
        <v>0</v>
      </c>
      <c r="ES63" s="1">
        <f>$CT63*Table1[[#This Row],[Female%(&gt;=65)]]</f>
        <v>0</v>
      </c>
      <c r="ET63" s="1">
        <f>$CU63*Table1[[#This Row],[Male% (&gt;=65)]]</f>
        <v>0</v>
      </c>
    </row>
    <row r="64" spans="1:150" hidden="1" x14ac:dyDescent="0.35">
      <c r="A64" t="s">
        <v>104</v>
      </c>
      <c r="B64" t="s">
        <v>105</v>
      </c>
      <c r="C64" t="s">
        <v>392</v>
      </c>
      <c r="D64" t="s">
        <v>393</v>
      </c>
      <c r="E64" t="s">
        <v>545</v>
      </c>
      <c r="F64" t="s">
        <v>546</v>
      </c>
      <c r="H64">
        <v>3</v>
      </c>
      <c r="I64" s="1">
        <v>0</v>
      </c>
      <c r="J64" s="1">
        <v>197</v>
      </c>
      <c r="K64" s="1">
        <v>8084</v>
      </c>
      <c r="L64" s="1">
        <v>1669</v>
      </c>
      <c r="M64" s="1">
        <v>0</v>
      </c>
      <c r="N64" s="1">
        <v>9753</v>
      </c>
      <c r="O64" s="3">
        <v>1</v>
      </c>
      <c r="P64" s="3">
        <v>0</v>
      </c>
      <c r="Q64" s="3">
        <v>0</v>
      </c>
      <c r="R64" s="3">
        <v>0</v>
      </c>
      <c r="S64" s="3">
        <v>0</v>
      </c>
      <c r="T64" s="1">
        <v>9950</v>
      </c>
      <c r="U64" s="1">
        <v>0</v>
      </c>
      <c r="V64" s="10">
        <f>Table1[[#This Row],[Pop NW+RATAA]]*Table1[[#This Row],[Perc_pop_Northern_Aleppo]]</f>
        <v>0</v>
      </c>
      <c r="W64" s="10">
        <f>Table1[[#This Row],[Pop NW+RATAA]]*Table1[[#This Row],[Perc_pop_Afrin District]]</f>
        <v>0</v>
      </c>
      <c r="X64" s="10">
        <f>Table1[[#This Row],[Pop NW+RATAA]]*Table1[[#This Row],[Perc_pop_Euphrates Shiled]]</f>
        <v>0</v>
      </c>
      <c r="Y64" s="10">
        <f>Table1[[#This Row],[Pop NW+RATAA]]*Table1[[#This Row],[Perc_Pop_Idleb_NSAG]]</f>
        <v>0</v>
      </c>
      <c r="Z64" s="3">
        <v>0</v>
      </c>
      <c r="AA64" s="3">
        <v>0</v>
      </c>
      <c r="AB64" s="3">
        <v>0</v>
      </c>
      <c r="AC64" s="3">
        <v>0</v>
      </c>
      <c r="AD64" s="1">
        <v>9753</v>
      </c>
      <c r="AE64" s="1">
        <v>0</v>
      </c>
      <c r="AF64" s="1">
        <v>0</v>
      </c>
      <c r="AG64" s="1">
        <v>0</v>
      </c>
      <c r="AH64" s="1">
        <v>0</v>
      </c>
      <c r="AI64" s="1">
        <f>Table1[[#This Row],[NWS_pin]]*Table1[[#This Row],[Perc_pop_Northern_Aleppo]]</f>
        <v>0</v>
      </c>
      <c r="AJ64" s="1">
        <f>Table1[[#This Row],[NWS_pin]]*Table1[[#This Row],[Perc_pop_Afrin District]]</f>
        <v>0</v>
      </c>
      <c r="AK64" s="1">
        <f>Table1[[#This Row],[NWS_pin]]*Table1[[#This Row],[Perc_pop_Euphrates Shiled]]</f>
        <v>0</v>
      </c>
      <c r="AL64" s="1">
        <f>Table1[[#This Row],[NWS_pin]]*Table1[[#This Row],[Perc_Pop_Idleb_NSAG]]</f>
        <v>0</v>
      </c>
      <c r="AM64" s="4">
        <v>0.57458175083670204</v>
      </c>
      <c r="AN64" s="4">
        <v>0.42541824916329801</v>
      </c>
      <c r="AO64" s="4">
        <v>0.25029364263691101</v>
      </c>
      <c r="AP64" s="4">
        <v>0.37695964749847599</v>
      </c>
      <c r="AQ64" s="4">
        <v>0.50826388648266896</v>
      </c>
      <c r="AR64" s="4">
        <v>3.7821874938725297E-2</v>
      </c>
      <c r="AS64" s="4">
        <v>1.8913220579904699E-2</v>
      </c>
      <c r="AT64" s="4">
        <v>5.80413705002241E-2</v>
      </c>
      <c r="AU64" s="4">
        <v>5.8540525491840301E-2</v>
      </c>
      <c r="AV64" s="4">
        <v>3.9279224130969403E-2</v>
      </c>
      <c r="AW64" s="4">
        <v>8.4555376244221603E-2</v>
      </c>
      <c r="AX64" s="4">
        <v>7.2519735470135405E-2</v>
      </c>
      <c r="AY64" s="4">
        <v>7.9279208812952806E-2</v>
      </c>
      <c r="AZ64" s="4">
        <v>6.3390202273830895E-2</v>
      </c>
      <c r="BA64" s="4">
        <v>7.3352077860732098E-2</v>
      </c>
      <c r="BB64" s="4">
        <v>6.9788692268848596E-2</v>
      </c>
      <c r="BC64" s="4">
        <v>7.8164885812242305E-2</v>
      </c>
      <c r="BD64" s="4">
        <v>3.26096302086104E-2</v>
      </c>
      <c r="BE64" s="4">
        <v>2.82351734882661E-2</v>
      </c>
      <c r="BF64" s="4">
        <v>3.8517893444327801E-2</v>
      </c>
      <c r="BG64" s="4">
        <v>4.6384728995291599E-2</v>
      </c>
      <c r="BH64" s="4">
        <v>4.9181220896666003E-2</v>
      </c>
      <c r="BI64" s="4">
        <v>4.2607709048327502E-2</v>
      </c>
      <c r="BJ64" s="4">
        <v>7.8054501566301004E-2</v>
      </c>
      <c r="BK64" s="4">
        <v>7.0683647390171397E-2</v>
      </c>
      <c r="BL64" s="4">
        <v>8.8009782765478994E-2</v>
      </c>
      <c r="BM64" s="4">
        <v>2.95181749175428E-2</v>
      </c>
      <c r="BN64" s="4">
        <v>3.2674621919038298E-2</v>
      </c>
      <c r="BO64" s="4">
        <v>2.5254989574390301E-2</v>
      </c>
      <c r="BP64" s="4">
        <v>5.8540525491840301E-2</v>
      </c>
      <c r="BQ64" s="4">
        <v>8.7154009684720299E-2</v>
      </c>
      <c r="BR64" s="4">
        <v>1.9894355804906099E-2</v>
      </c>
      <c r="BS64" s="4">
        <v>8.4651548007771901E-2</v>
      </c>
      <c r="BT64" s="4">
        <v>9.5812757926080294E-2</v>
      </c>
      <c r="BU64" s="4">
        <v>6.9576906642643294E-2</v>
      </c>
      <c r="BV64" s="4">
        <v>9.1580354211167794E-2</v>
      </c>
      <c r="BW64" s="4">
        <v>9.1133726141530896E-2</v>
      </c>
      <c r="BX64" s="4">
        <v>9.2183582537008493E-2</v>
      </c>
      <c r="BY64" s="4">
        <v>8.28103115840816E-2</v>
      </c>
      <c r="BZ64" s="4">
        <v>6.0732393627264701E-2</v>
      </c>
      <c r="CA64" s="4">
        <v>0.112629363257127</v>
      </c>
      <c r="CB64" s="4">
        <v>8.3233523941629403E-2</v>
      </c>
      <c r="CC64" s="4">
        <v>9.3397298179506399E-2</v>
      </c>
      <c r="CD64" s="4">
        <v>6.9506047021694495E-2</v>
      </c>
      <c r="CE64" s="4">
        <v>3.37346209051997E-2</v>
      </c>
      <c r="CF64" s="4">
        <v>1.4696679575765601E-2</v>
      </c>
      <c r="CG64" s="4">
        <v>5.9447795370345301E-2</v>
      </c>
      <c r="CH64" s="4">
        <v>4.9057977755098098E-2</v>
      </c>
      <c r="CI64" s="4">
        <v>6.0110051333067099E-2</v>
      </c>
      <c r="CJ64" s="4">
        <v>3.4130738974685902E-2</v>
      </c>
      <c r="CK64" s="4">
        <v>4.9154326158847399E-2</v>
      </c>
      <c r="CL64" s="4">
        <v>5.4897378144340002E-2</v>
      </c>
      <c r="CM64" s="4">
        <v>4.1397599992396797E-2</v>
      </c>
      <c r="CN64" s="4">
        <v>2.9213397109393899E-2</v>
      </c>
      <c r="CO64" s="4">
        <v>2.5404930572765098E-2</v>
      </c>
      <c r="CP64" s="4">
        <v>3.4357218219379197E-2</v>
      </c>
      <c r="CQ64" s="4">
        <v>4.7044040324516201E-2</v>
      </c>
      <c r="CR64" s="4">
        <v>4.7538985908046998E-2</v>
      </c>
      <c r="CS64" s="4">
        <v>4.6375553016993802E-2</v>
      </c>
      <c r="CT64" s="1">
        <f>Table1[[#This Row],[Female %]]*Table1[[#This Row],[NWS_pin]]</f>
        <v>0</v>
      </c>
      <c r="CU64" s="1">
        <f>Table1[[#This Row],[Male %]]*Table1[[#This Row],[NWS_pin]]</f>
        <v>0</v>
      </c>
      <c r="CV64" s="1">
        <f>Table1[[#This Row],[Female% (0-2)22]]+Table1[[#This Row],[Male%(0-2)3]]</f>
        <v>0</v>
      </c>
      <c r="CW64" s="1">
        <f>$CT64*Table1[[#This Row],[Female% (0-2)]]</f>
        <v>0</v>
      </c>
      <c r="CX64" s="1">
        <f>$CU64*Table1[[#This Row],[Male%(0-2)]]</f>
        <v>0</v>
      </c>
      <c r="CY64" s="1">
        <f>Table1[[#This Row],[Female%  (3-5)5]]+Table1[[#This Row],[Male% (3-5)6]]</f>
        <v>0</v>
      </c>
      <c r="CZ64" s="1">
        <f>$AF64*Table1[[#This Row],[Female%  (3-5)]]</f>
        <v>0</v>
      </c>
      <c r="DA64" s="1">
        <f>$CU64*Table1[[#This Row],[Male% (3-5)]]</f>
        <v>0</v>
      </c>
      <c r="DB64" s="1">
        <f>Table1[[#This Row],[Female% (6-8)8]]+Table1[[#This Row],[Male%(6-8)9]]</f>
        <v>0</v>
      </c>
      <c r="DC64" s="1">
        <f>$CT64*Table1[[#This Row],[Female% (6-8)]]</f>
        <v>0</v>
      </c>
      <c r="DD64" s="1">
        <f>$CU64*Table1[[#This Row],[Male%(6-8)]]</f>
        <v>0</v>
      </c>
      <c r="DE64" s="1">
        <f>Table1[[#This Row],[Female% (9 - 11)11]]+Table1[[#This Row],[Male% (9 - 11)12]]</f>
        <v>0</v>
      </c>
      <c r="DF64" s="1">
        <f>$CT64*Table1[[#This Row],[Female% (9 - 11)]]</f>
        <v>0</v>
      </c>
      <c r="DG64" s="1">
        <f>$CU64*Table1[[#This Row],[Male% (9 - 11)]]</f>
        <v>0</v>
      </c>
      <c r="DH64" s="1">
        <f>Table1[[#This Row],[Female% (12-14)14]]+Table1[[#This Row],[Male%(12-14)15]]</f>
        <v>0</v>
      </c>
      <c r="DI64" s="1">
        <f>$CT64*Table1[[#This Row],[Female% (12-14)]]</f>
        <v>0</v>
      </c>
      <c r="DJ64" s="1">
        <f>$CU64*Table1[[#This Row],[Male%(12-14)]]</f>
        <v>0</v>
      </c>
      <c r="DK64" s="1">
        <f>Table1[[#This Row],[Female% (15-17)17]]+Table1[[#This Row],[Male%(15-17)18]]</f>
        <v>0</v>
      </c>
      <c r="DL64" s="1">
        <f>$CT64*Table1[[#This Row],[Female% (15-17)]]</f>
        <v>0</v>
      </c>
      <c r="DM64" s="1">
        <f>$CU64*Table1[[#This Row],[Male%(15-17)]]</f>
        <v>0</v>
      </c>
      <c r="DN64" s="1">
        <f>$AF64*Table1[[#This Row],[Total% (18-19)]]</f>
        <v>0</v>
      </c>
      <c r="DO64" s="1">
        <f>$CT64*Table1[[#This Row],[Female% (18-19)]]</f>
        <v>0</v>
      </c>
      <c r="DP64" s="1">
        <f>$CU64*Table1[[#This Row],[Male%(18-19)]]</f>
        <v>0</v>
      </c>
      <c r="DQ64" s="1">
        <f>$AF64*Table1[[#This Row],[Total% (20-24)]]</f>
        <v>0</v>
      </c>
      <c r="DR64" s="1">
        <f>$CT64*Table1[[#This Row],[Female% (20-24)]]</f>
        <v>0</v>
      </c>
      <c r="DS64" s="1">
        <f>$CU64*Table1[[#This Row],[Male% (20-24)]]</f>
        <v>0</v>
      </c>
      <c r="DT64" s="1">
        <f>$AF64*Table1[[#This Row],[Total% (25-29)]]</f>
        <v>0</v>
      </c>
      <c r="DU64" s="1">
        <f>$CT64*Table1[[#This Row],[Female% (25-29)]]</f>
        <v>0</v>
      </c>
      <c r="DV64" s="1">
        <f>$CU64*Table1[[#This Row],[Male% (25-29)]]</f>
        <v>0</v>
      </c>
      <c r="DW64" s="1">
        <f>$AF64*Table1[[#This Row],[Total%   (30-34)]]</f>
        <v>0</v>
      </c>
      <c r="DX64" s="1">
        <f>$CT64*Table1[[#This Row],[Female%   (30-34)]]</f>
        <v>0</v>
      </c>
      <c r="DY64" s="1">
        <f>$CU64*Table1[[#This Row],[Male%  (30-34)]]</f>
        <v>0</v>
      </c>
      <c r="DZ64" s="1">
        <f>$AF64*Table1[[#This Row],[Total% (35-39)]]</f>
        <v>0</v>
      </c>
      <c r="EA64" s="1">
        <f>$CT64*Table1[[#This Row],[Female% (35-39)]]</f>
        <v>0</v>
      </c>
      <c r="EB64" s="1">
        <f>$CU64*Table1[[#This Row],[Male% (35-39)]]</f>
        <v>0</v>
      </c>
      <c r="EC64" s="1">
        <f>$AF64*Table1[[#This Row],[Total% (40-44)]]</f>
        <v>0</v>
      </c>
      <c r="ED64" s="1">
        <f>$CT64*Table1[[#This Row],[Female% (40-44)]]</f>
        <v>0</v>
      </c>
      <c r="EE64" s="1">
        <f>$CU64*Table1[[#This Row],[Male%(55-59)]]</f>
        <v>0</v>
      </c>
      <c r="EF64" s="1">
        <f>$AF64*Table1[[#This Row],[Total% (45-49)]]</f>
        <v>0</v>
      </c>
      <c r="EG64" s="1">
        <f>$CT64*Table1[[#This Row],[Female% (45-49)]]</f>
        <v>0</v>
      </c>
      <c r="EH64" s="1">
        <f>$CU64*Table1[[#This Row],[Male% (45-49)]]</f>
        <v>0</v>
      </c>
      <c r="EI64" s="1">
        <f>$AF64*Table1[[#This Row],[Total% (50-54)]]</f>
        <v>0</v>
      </c>
      <c r="EJ64" s="1">
        <f>$CT64*Table1[[#This Row],[Female%(50-54)]]</f>
        <v>0</v>
      </c>
      <c r="EK64" s="1">
        <f>$CU64*Table1[[#This Row],[Male% (50-54)]]</f>
        <v>0</v>
      </c>
      <c r="EL64" s="1">
        <f>$AF64*Table1[[#This Row],[Total% (55-59)]]</f>
        <v>0</v>
      </c>
      <c r="EM64" s="1">
        <f>$CT64*Table1[[#This Row],[Female% (55-59)]]</f>
        <v>0</v>
      </c>
      <c r="EN64" s="1">
        <f>$CU64*Table1[[#This Row],[Male% (55-59)]]</f>
        <v>0</v>
      </c>
      <c r="EO64" s="1">
        <f>$AF64*Table1[[#This Row],[Total% (60-64)]]</f>
        <v>0</v>
      </c>
      <c r="EP64" s="1">
        <f>$CT64*Table1[[#This Row],[Female%(60-64)]]</f>
        <v>0</v>
      </c>
      <c r="EQ64" s="1">
        <f>$CU64*Table1[[#This Row],[Male%(60-64)]]</f>
        <v>0</v>
      </c>
      <c r="ER64" s="1">
        <f>$AF64*Table1[[#This Row],[Total% (&gt;=65)]]</f>
        <v>0</v>
      </c>
      <c r="ES64" s="1">
        <f>$CT64*Table1[[#This Row],[Female%(&gt;=65)]]</f>
        <v>0</v>
      </c>
      <c r="ET64" s="1">
        <f>$CU64*Table1[[#This Row],[Male% (&gt;=65)]]</f>
        <v>0</v>
      </c>
    </row>
    <row r="65" spans="1:150" hidden="1" x14ac:dyDescent="0.35">
      <c r="A65" t="s">
        <v>104</v>
      </c>
      <c r="B65" t="s">
        <v>105</v>
      </c>
      <c r="C65" t="s">
        <v>467</v>
      </c>
      <c r="D65" t="s">
        <v>468</v>
      </c>
      <c r="E65" t="s">
        <v>467</v>
      </c>
      <c r="F65" t="s">
        <v>469</v>
      </c>
      <c r="H65">
        <v>4</v>
      </c>
      <c r="I65" s="1">
        <v>0</v>
      </c>
      <c r="J65" s="1">
        <v>726</v>
      </c>
      <c r="K65" s="1">
        <v>16683</v>
      </c>
      <c r="L65" s="1">
        <v>26007</v>
      </c>
      <c r="M65" s="1">
        <v>0</v>
      </c>
      <c r="N65" s="1">
        <v>42690</v>
      </c>
      <c r="O65" s="3">
        <v>1</v>
      </c>
      <c r="P65" s="3">
        <v>0</v>
      </c>
      <c r="Q65" s="3">
        <v>0</v>
      </c>
      <c r="R65" s="3">
        <v>0</v>
      </c>
      <c r="S65" s="3">
        <v>0</v>
      </c>
      <c r="T65" s="1">
        <v>43416</v>
      </c>
      <c r="U65" s="1">
        <v>0</v>
      </c>
      <c r="V65" s="10">
        <f>Table1[[#This Row],[Pop NW+RATAA]]*Table1[[#This Row],[Perc_pop_Northern_Aleppo]]</f>
        <v>0</v>
      </c>
      <c r="W65" s="10">
        <f>Table1[[#This Row],[Pop NW+RATAA]]*Table1[[#This Row],[Perc_pop_Afrin District]]</f>
        <v>0</v>
      </c>
      <c r="X65" s="10">
        <f>Table1[[#This Row],[Pop NW+RATAA]]*Table1[[#This Row],[Perc_pop_Euphrates Shiled]]</f>
        <v>0</v>
      </c>
      <c r="Y65" s="10">
        <f>Table1[[#This Row],[Pop NW+RATAA]]*Table1[[#This Row],[Perc_Pop_Idleb_NSAG]]</f>
        <v>0</v>
      </c>
      <c r="Z65" s="3">
        <v>0</v>
      </c>
      <c r="AA65" s="3">
        <v>0</v>
      </c>
      <c r="AB65" s="3">
        <v>0</v>
      </c>
      <c r="AC65" s="3">
        <v>0</v>
      </c>
      <c r="AD65" s="1">
        <v>42690</v>
      </c>
      <c r="AE65" s="1">
        <v>0</v>
      </c>
      <c r="AF65" s="1">
        <v>0</v>
      </c>
      <c r="AG65" s="1">
        <v>0</v>
      </c>
      <c r="AH65" s="1">
        <v>0</v>
      </c>
      <c r="AI65" s="1">
        <f>Table1[[#This Row],[NWS_pin]]*Table1[[#This Row],[Perc_pop_Northern_Aleppo]]</f>
        <v>0</v>
      </c>
      <c r="AJ65" s="1">
        <f>Table1[[#This Row],[NWS_pin]]*Table1[[#This Row],[Perc_pop_Afrin District]]</f>
        <v>0</v>
      </c>
      <c r="AK65" s="1">
        <f>Table1[[#This Row],[NWS_pin]]*Table1[[#This Row],[Perc_pop_Euphrates Shiled]]</f>
        <v>0</v>
      </c>
      <c r="AL65" s="1">
        <f>Table1[[#This Row],[NWS_pin]]*Table1[[#This Row],[Perc_Pop_Idleb_NSAG]]</f>
        <v>0</v>
      </c>
      <c r="AM65" s="4">
        <v>0.56940052558943699</v>
      </c>
      <c r="AN65" s="4">
        <v>0.43059947441056301</v>
      </c>
      <c r="AO65" s="4">
        <v>0.228984027489608</v>
      </c>
      <c r="AP65" s="4">
        <v>0.44793243045338299</v>
      </c>
      <c r="AQ65" s="4">
        <v>0.41155157364720701</v>
      </c>
      <c r="AR65" s="4">
        <v>3.1127476663048201E-2</v>
      </c>
      <c r="AS65" s="4">
        <v>1.8064844116160699E-2</v>
      </c>
      <c r="AT65" s="4">
        <v>9.1323675120200704E-2</v>
      </c>
      <c r="AU65" s="4">
        <v>3.6106362672706498E-2</v>
      </c>
      <c r="AV65" s="4">
        <v>3.3634443107466799E-2</v>
      </c>
      <c r="AW65" s="4">
        <v>3.9375090070920299E-2</v>
      </c>
      <c r="AX65" s="4">
        <v>8.2792524663665004E-2</v>
      </c>
      <c r="AY65" s="4">
        <v>5.1708806922727397E-2</v>
      </c>
      <c r="AZ65" s="4">
        <v>0.123895884678657</v>
      </c>
      <c r="BA65" s="4">
        <v>7.6940257121427505E-2</v>
      </c>
      <c r="BB65" s="4">
        <v>7.1302298741060893E-2</v>
      </c>
      <c r="BC65" s="4">
        <v>8.4395576172679301E-2</v>
      </c>
      <c r="BD65" s="4">
        <v>6.5941575925781898E-2</v>
      </c>
      <c r="BE65" s="4">
        <v>7.3918115705418799E-2</v>
      </c>
      <c r="BF65" s="4">
        <v>5.5393848367294801E-2</v>
      </c>
      <c r="BG65" s="4">
        <v>6.57593374276913E-2</v>
      </c>
      <c r="BH65" s="4">
        <v>6.2538029117349098E-2</v>
      </c>
      <c r="BI65" s="4">
        <v>7.0019014352530301E-2</v>
      </c>
      <c r="BJ65" s="4">
        <v>7.7406849048545501E-2</v>
      </c>
      <c r="BK65" s="4">
        <v>8.2539430389316604E-2</v>
      </c>
      <c r="BL65" s="4">
        <v>7.0619812169166699E-2</v>
      </c>
      <c r="BM65" s="4">
        <v>4.6686161990958597E-2</v>
      </c>
      <c r="BN65" s="4">
        <v>4.42292289368202E-2</v>
      </c>
      <c r="BO65" s="4">
        <v>4.9935072069818801E-2</v>
      </c>
      <c r="BP65" s="4">
        <v>6.1290508875747399E-2</v>
      </c>
      <c r="BQ65" s="4">
        <v>6.9052968731826606E-2</v>
      </c>
      <c r="BR65" s="4">
        <v>5.1025868567097003E-2</v>
      </c>
      <c r="BS65" s="4">
        <v>9.2615169683174001E-2</v>
      </c>
      <c r="BT65" s="4">
        <v>0.10897154032669799</v>
      </c>
      <c r="BU65" s="4">
        <v>7.0986425119779095E-2</v>
      </c>
      <c r="BV65" s="4">
        <v>4.2296902636293598E-2</v>
      </c>
      <c r="BW65" s="4">
        <v>4.2350452105645899E-2</v>
      </c>
      <c r="BX65" s="4">
        <v>4.2226091829949797E-2</v>
      </c>
      <c r="BY65" s="4">
        <v>5.2876701954545698E-2</v>
      </c>
      <c r="BZ65" s="4">
        <v>4.3769433619458203E-2</v>
      </c>
      <c r="CA65" s="4">
        <v>6.4919641356135496E-2</v>
      </c>
      <c r="CB65" s="4">
        <v>7.7148145824474795E-2</v>
      </c>
      <c r="CC65" s="4">
        <v>8.6762231544006502E-2</v>
      </c>
      <c r="CD65" s="4">
        <v>6.4435019619997203E-2</v>
      </c>
      <c r="CE65" s="4">
        <v>2.87654367379395E-2</v>
      </c>
      <c r="CF65" s="4">
        <v>2.6519966124640301E-2</v>
      </c>
      <c r="CG65" s="4">
        <v>3.1734720778888101E-2</v>
      </c>
      <c r="CH65" s="4">
        <v>3.64690102483008E-2</v>
      </c>
      <c r="CI65" s="4">
        <v>5.0284373233935697E-2</v>
      </c>
      <c r="CJ65" s="4">
        <v>1.82003512909307E-2</v>
      </c>
      <c r="CK65" s="4">
        <v>6.4893070093591895E-2</v>
      </c>
      <c r="CL65" s="4">
        <v>6.3682978704166796E-2</v>
      </c>
      <c r="CM65" s="4">
        <v>6.6493226884524095E-2</v>
      </c>
      <c r="CN65" s="4">
        <v>3.8977419796764598E-2</v>
      </c>
      <c r="CO65" s="4">
        <v>2.71623119435427E-2</v>
      </c>
      <c r="CP65" s="4">
        <v>5.4601053872792203E-2</v>
      </c>
      <c r="CQ65" s="4">
        <v>5.3034565298391498E-2</v>
      </c>
      <c r="CR65" s="4">
        <v>6.1573390745919498E-2</v>
      </c>
      <c r="CS65" s="4">
        <v>4.1743302798839303E-2</v>
      </c>
      <c r="CT65" s="1">
        <f>Table1[[#This Row],[Female %]]*Table1[[#This Row],[NWS_pin]]</f>
        <v>0</v>
      </c>
      <c r="CU65" s="1">
        <f>Table1[[#This Row],[Male %]]*Table1[[#This Row],[NWS_pin]]</f>
        <v>0</v>
      </c>
      <c r="CV65" s="1">
        <f>Table1[[#This Row],[Female% (0-2)22]]+Table1[[#This Row],[Male%(0-2)3]]</f>
        <v>0</v>
      </c>
      <c r="CW65" s="1">
        <f>$CT65*Table1[[#This Row],[Female% (0-2)]]</f>
        <v>0</v>
      </c>
      <c r="CX65" s="1">
        <f>$CU65*Table1[[#This Row],[Male%(0-2)]]</f>
        <v>0</v>
      </c>
      <c r="CY65" s="1">
        <f>Table1[[#This Row],[Female%  (3-5)5]]+Table1[[#This Row],[Male% (3-5)6]]</f>
        <v>0</v>
      </c>
      <c r="CZ65" s="1">
        <f>$AF65*Table1[[#This Row],[Female%  (3-5)]]</f>
        <v>0</v>
      </c>
      <c r="DA65" s="1">
        <f>$CU65*Table1[[#This Row],[Male% (3-5)]]</f>
        <v>0</v>
      </c>
      <c r="DB65" s="1">
        <f>Table1[[#This Row],[Female% (6-8)8]]+Table1[[#This Row],[Male%(6-8)9]]</f>
        <v>0</v>
      </c>
      <c r="DC65" s="1">
        <f>$CT65*Table1[[#This Row],[Female% (6-8)]]</f>
        <v>0</v>
      </c>
      <c r="DD65" s="1">
        <f>$CU65*Table1[[#This Row],[Male%(6-8)]]</f>
        <v>0</v>
      </c>
      <c r="DE65" s="1">
        <f>Table1[[#This Row],[Female% (9 - 11)11]]+Table1[[#This Row],[Male% (9 - 11)12]]</f>
        <v>0</v>
      </c>
      <c r="DF65" s="1">
        <f>$CT65*Table1[[#This Row],[Female% (9 - 11)]]</f>
        <v>0</v>
      </c>
      <c r="DG65" s="1">
        <f>$CU65*Table1[[#This Row],[Male% (9 - 11)]]</f>
        <v>0</v>
      </c>
      <c r="DH65" s="1">
        <f>Table1[[#This Row],[Female% (12-14)14]]+Table1[[#This Row],[Male%(12-14)15]]</f>
        <v>0</v>
      </c>
      <c r="DI65" s="1">
        <f>$CT65*Table1[[#This Row],[Female% (12-14)]]</f>
        <v>0</v>
      </c>
      <c r="DJ65" s="1">
        <f>$CU65*Table1[[#This Row],[Male%(12-14)]]</f>
        <v>0</v>
      </c>
      <c r="DK65" s="1">
        <f>Table1[[#This Row],[Female% (15-17)17]]+Table1[[#This Row],[Male%(15-17)18]]</f>
        <v>0</v>
      </c>
      <c r="DL65" s="1">
        <f>$CT65*Table1[[#This Row],[Female% (15-17)]]</f>
        <v>0</v>
      </c>
      <c r="DM65" s="1">
        <f>$CU65*Table1[[#This Row],[Male%(15-17)]]</f>
        <v>0</v>
      </c>
      <c r="DN65" s="1">
        <f>$AF65*Table1[[#This Row],[Total% (18-19)]]</f>
        <v>0</v>
      </c>
      <c r="DO65" s="1">
        <f>$CT65*Table1[[#This Row],[Female% (18-19)]]</f>
        <v>0</v>
      </c>
      <c r="DP65" s="1">
        <f>$CU65*Table1[[#This Row],[Male%(18-19)]]</f>
        <v>0</v>
      </c>
      <c r="DQ65" s="1">
        <f>$AF65*Table1[[#This Row],[Total% (20-24)]]</f>
        <v>0</v>
      </c>
      <c r="DR65" s="1">
        <f>$CT65*Table1[[#This Row],[Female% (20-24)]]</f>
        <v>0</v>
      </c>
      <c r="DS65" s="1">
        <f>$CU65*Table1[[#This Row],[Male% (20-24)]]</f>
        <v>0</v>
      </c>
      <c r="DT65" s="1">
        <f>$AF65*Table1[[#This Row],[Total% (25-29)]]</f>
        <v>0</v>
      </c>
      <c r="DU65" s="1">
        <f>$CT65*Table1[[#This Row],[Female% (25-29)]]</f>
        <v>0</v>
      </c>
      <c r="DV65" s="1">
        <f>$CU65*Table1[[#This Row],[Male% (25-29)]]</f>
        <v>0</v>
      </c>
      <c r="DW65" s="1">
        <f>$AF65*Table1[[#This Row],[Total%   (30-34)]]</f>
        <v>0</v>
      </c>
      <c r="DX65" s="1">
        <f>$CT65*Table1[[#This Row],[Female%   (30-34)]]</f>
        <v>0</v>
      </c>
      <c r="DY65" s="1">
        <f>$CU65*Table1[[#This Row],[Male%  (30-34)]]</f>
        <v>0</v>
      </c>
      <c r="DZ65" s="1">
        <f>$AF65*Table1[[#This Row],[Total% (35-39)]]</f>
        <v>0</v>
      </c>
      <c r="EA65" s="1">
        <f>$CT65*Table1[[#This Row],[Female% (35-39)]]</f>
        <v>0</v>
      </c>
      <c r="EB65" s="1">
        <f>$CU65*Table1[[#This Row],[Male% (35-39)]]</f>
        <v>0</v>
      </c>
      <c r="EC65" s="1">
        <f>$AF65*Table1[[#This Row],[Total% (40-44)]]</f>
        <v>0</v>
      </c>
      <c r="ED65" s="1">
        <f>$CT65*Table1[[#This Row],[Female% (40-44)]]</f>
        <v>0</v>
      </c>
      <c r="EE65" s="1">
        <f>$CU65*Table1[[#This Row],[Male%(55-59)]]</f>
        <v>0</v>
      </c>
      <c r="EF65" s="1">
        <f>$AF65*Table1[[#This Row],[Total% (45-49)]]</f>
        <v>0</v>
      </c>
      <c r="EG65" s="1">
        <f>$CT65*Table1[[#This Row],[Female% (45-49)]]</f>
        <v>0</v>
      </c>
      <c r="EH65" s="1">
        <f>$CU65*Table1[[#This Row],[Male% (45-49)]]</f>
        <v>0</v>
      </c>
      <c r="EI65" s="1">
        <f>$AF65*Table1[[#This Row],[Total% (50-54)]]</f>
        <v>0</v>
      </c>
      <c r="EJ65" s="1">
        <f>$CT65*Table1[[#This Row],[Female%(50-54)]]</f>
        <v>0</v>
      </c>
      <c r="EK65" s="1">
        <f>$CU65*Table1[[#This Row],[Male% (50-54)]]</f>
        <v>0</v>
      </c>
      <c r="EL65" s="1">
        <f>$AF65*Table1[[#This Row],[Total% (55-59)]]</f>
        <v>0</v>
      </c>
      <c r="EM65" s="1">
        <f>$CT65*Table1[[#This Row],[Female% (55-59)]]</f>
        <v>0</v>
      </c>
      <c r="EN65" s="1">
        <f>$CU65*Table1[[#This Row],[Male% (55-59)]]</f>
        <v>0</v>
      </c>
      <c r="EO65" s="1">
        <f>$AF65*Table1[[#This Row],[Total% (60-64)]]</f>
        <v>0</v>
      </c>
      <c r="EP65" s="1">
        <f>$CT65*Table1[[#This Row],[Female%(60-64)]]</f>
        <v>0</v>
      </c>
      <c r="EQ65" s="1">
        <f>$CU65*Table1[[#This Row],[Male%(60-64)]]</f>
        <v>0</v>
      </c>
      <c r="ER65" s="1">
        <f>$AF65*Table1[[#This Row],[Total% (&gt;=65)]]</f>
        <v>0</v>
      </c>
      <c r="ES65" s="1">
        <f>$CT65*Table1[[#This Row],[Female%(&gt;=65)]]</f>
        <v>0</v>
      </c>
      <c r="ET65" s="1">
        <f>$CU65*Table1[[#This Row],[Male% (&gt;=65)]]</f>
        <v>0</v>
      </c>
    </row>
    <row r="66" spans="1:150" hidden="1" x14ac:dyDescent="0.35">
      <c r="A66" t="s">
        <v>104</v>
      </c>
      <c r="B66" t="s">
        <v>105</v>
      </c>
      <c r="C66" t="s">
        <v>467</v>
      </c>
      <c r="D66" t="s">
        <v>468</v>
      </c>
      <c r="E66" t="s">
        <v>559</v>
      </c>
      <c r="F66" t="s">
        <v>560</v>
      </c>
      <c r="H66">
        <v>4</v>
      </c>
      <c r="I66" s="1">
        <v>0</v>
      </c>
      <c r="J66" s="1">
        <v>60</v>
      </c>
      <c r="K66" s="1">
        <v>1853</v>
      </c>
      <c r="L66" s="1">
        <v>3966</v>
      </c>
      <c r="M66" s="1">
        <v>0</v>
      </c>
      <c r="N66" s="1">
        <v>5819</v>
      </c>
      <c r="O66" s="3">
        <v>1</v>
      </c>
      <c r="P66" s="3">
        <v>0</v>
      </c>
      <c r="Q66" s="3">
        <v>0</v>
      </c>
      <c r="R66" s="3">
        <v>0</v>
      </c>
      <c r="S66" s="3">
        <v>0</v>
      </c>
      <c r="T66" s="1">
        <v>5879</v>
      </c>
      <c r="U66" s="1">
        <v>0</v>
      </c>
      <c r="V66" s="10">
        <f>Table1[[#This Row],[Pop NW+RATAA]]*Table1[[#This Row],[Perc_pop_Northern_Aleppo]]</f>
        <v>0</v>
      </c>
      <c r="W66" s="10">
        <f>Table1[[#This Row],[Pop NW+RATAA]]*Table1[[#This Row],[Perc_pop_Afrin District]]</f>
        <v>0</v>
      </c>
      <c r="X66" s="10">
        <f>Table1[[#This Row],[Pop NW+RATAA]]*Table1[[#This Row],[Perc_pop_Euphrates Shiled]]</f>
        <v>0</v>
      </c>
      <c r="Y66" s="10">
        <f>Table1[[#This Row],[Pop NW+RATAA]]*Table1[[#This Row],[Perc_Pop_Idleb_NSAG]]</f>
        <v>0</v>
      </c>
      <c r="Z66" s="3">
        <v>0</v>
      </c>
      <c r="AA66" s="3">
        <v>0</v>
      </c>
      <c r="AB66" s="3">
        <v>0</v>
      </c>
      <c r="AC66" s="3">
        <v>0</v>
      </c>
      <c r="AD66" s="1">
        <v>5819</v>
      </c>
      <c r="AE66" s="1">
        <v>0</v>
      </c>
      <c r="AF66" s="1">
        <v>0</v>
      </c>
      <c r="AG66" s="1">
        <v>0</v>
      </c>
      <c r="AH66" s="1">
        <v>0</v>
      </c>
      <c r="AI66" s="1">
        <f>Table1[[#This Row],[NWS_pin]]*Table1[[#This Row],[Perc_pop_Northern_Aleppo]]</f>
        <v>0</v>
      </c>
      <c r="AJ66" s="1">
        <f>Table1[[#This Row],[NWS_pin]]*Table1[[#This Row],[Perc_pop_Afrin District]]</f>
        <v>0</v>
      </c>
      <c r="AK66" s="1">
        <f>Table1[[#This Row],[NWS_pin]]*Table1[[#This Row],[Perc_pop_Euphrates Shiled]]</f>
        <v>0</v>
      </c>
      <c r="AL66" s="1">
        <f>Table1[[#This Row],[NWS_pin]]*Table1[[#This Row],[Perc_Pop_Idleb_NSAG]]</f>
        <v>0</v>
      </c>
      <c r="AM66" s="4">
        <v>0.543179966177744</v>
      </c>
      <c r="AN66" s="4">
        <v>0.456820033822256</v>
      </c>
      <c r="AO66" s="4">
        <v>0.170443203924554</v>
      </c>
      <c r="AP66" s="4">
        <v>0.46345240097764001</v>
      </c>
      <c r="AQ66" s="4">
        <v>0.44524232289776999</v>
      </c>
      <c r="AR66" s="4">
        <v>1.1764359176480201E-2</v>
      </c>
      <c r="AS66" s="4">
        <v>5.91974887591674E-3</v>
      </c>
      <c r="AT66" s="4">
        <v>7.3621168072192905E-2</v>
      </c>
      <c r="AU66" s="4">
        <v>4.14226688218646E-2</v>
      </c>
      <c r="AV66" s="4">
        <v>2.3868985298366199E-2</v>
      </c>
      <c r="AW66" s="4">
        <v>6.2294803397071399E-2</v>
      </c>
      <c r="AX66" s="4">
        <v>5.1728966538776497E-2</v>
      </c>
      <c r="AY66" s="4">
        <v>5.7285564716078902E-2</v>
      </c>
      <c r="AZ66" s="4">
        <v>4.5121916526638002E-2</v>
      </c>
      <c r="BA66" s="4">
        <v>5.6388420511689803E-2</v>
      </c>
      <c r="BB66" s="4">
        <v>5.6800819410008599E-2</v>
      </c>
      <c r="BC66" s="4">
        <v>5.5898059312409001E-2</v>
      </c>
      <c r="BD66" s="4">
        <v>6.11137004693421E-2</v>
      </c>
      <c r="BE66" s="4">
        <v>4.6889666311109503E-2</v>
      </c>
      <c r="BF66" s="4">
        <v>7.8026729279252194E-2</v>
      </c>
      <c r="BG66" s="4">
        <v>8.4516804782795704E-2</v>
      </c>
      <c r="BH66" s="4">
        <v>6.6106040876319994E-2</v>
      </c>
      <c r="BI66" s="4">
        <v>0.10640804723193301</v>
      </c>
      <c r="BJ66" s="4">
        <v>9.8008567287771395E-2</v>
      </c>
      <c r="BK66" s="4">
        <v>0.114086384126088</v>
      </c>
      <c r="BL66" s="4">
        <v>7.8891305872203804E-2</v>
      </c>
      <c r="BM66" s="4">
        <v>4.9004283643885697E-2</v>
      </c>
      <c r="BN66" s="4">
        <v>4.2842987210541597E-2</v>
      </c>
      <c r="BO66" s="4">
        <v>5.63303476088848E-2</v>
      </c>
      <c r="BP66" s="4">
        <v>7.2209910003122199E-2</v>
      </c>
      <c r="BQ66" s="4">
        <v>9.0217398827721298E-2</v>
      </c>
      <c r="BR66" s="4">
        <v>5.0798180117173998E-2</v>
      </c>
      <c r="BS66" s="4">
        <v>7.9857350809882294E-2</v>
      </c>
      <c r="BT66" s="4">
        <v>0.104296417353706</v>
      </c>
      <c r="BU66" s="4">
        <v>5.0798180117173998E-2</v>
      </c>
      <c r="BV66" s="4">
        <v>3.3511924076148399E-2</v>
      </c>
      <c r="BW66" s="4">
        <v>3.3174206764677597E-2</v>
      </c>
      <c r="BX66" s="4">
        <v>3.39134854443911E-2</v>
      </c>
      <c r="BY66" s="4">
        <v>6.6628892243862703E-2</v>
      </c>
      <c r="BZ66" s="4">
        <v>8.0306245728822098E-2</v>
      </c>
      <c r="CA66" s="4">
        <v>5.03658918206982E-2</v>
      </c>
      <c r="CB66" s="4">
        <v>8.9439562694665103E-2</v>
      </c>
      <c r="CC66" s="4">
        <v>0.10356929939460099</v>
      </c>
      <c r="CD66" s="4">
        <v>7.2638657886366698E-2</v>
      </c>
      <c r="CE66" s="4">
        <v>6.6628892243862703E-2</v>
      </c>
      <c r="CF66" s="4">
        <v>4.2721800884023997E-2</v>
      </c>
      <c r="CG66" s="4">
        <v>9.5055520050860404E-2</v>
      </c>
      <c r="CH66" s="4">
        <v>5.1465662599820397E-2</v>
      </c>
      <c r="CI66" s="4">
        <v>4.7495597943697301E-2</v>
      </c>
      <c r="CJ66" s="4">
        <v>5.6186251510059598E-2</v>
      </c>
      <c r="CK66" s="4">
        <v>3.3446098091409401E-2</v>
      </c>
      <c r="CL66" s="4">
        <v>3.3053020438159997E-2</v>
      </c>
      <c r="CM66" s="4">
        <v>3.39134854443911E-2</v>
      </c>
      <c r="CN66" s="4">
        <v>2.8457514194801001E-2</v>
      </c>
      <c r="CO66" s="4">
        <v>2.8642782358039399E-2</v>
      </c>
      <c r="CP66" s="4">
        <v>2.8237221853855101E-2</v>
      </c>
      <c r="CQ66" s="4">
        <v>3.6170780986300097E-2</v>
      </c>
      <c r="CR66" s="4">
        <v>2.8642782358039399E-2</v>
      </c>
      <c r="CS66" s="4">
        <v>4.5121916526638002E-2</v>
      </c>
      <c r="CT66" s="1">
        <f>Table1[[#This Row],[Female %]]*Table1[[#This Row],[NWS_pin]]</f>
        <v>0</v>
      </c>
      <c r="CU66" s="1">
        <f>Table1[[#This Row],[Male %]]*Table1[[#This Row],[NWS_pin]]</f>
        <v>0</v>
      </c>
      <c r="CV66" s="1">
        <f>Table1[[#This Row],[Female% (0-2)22]]+Table1[[#This Row],[Male%(0-2)3]]</f>
        <v>0</v>
      </c>
      <c r="CW66" s="1">
        <f>$CT66*Table1[[#This Row],[Female% (0-2)]]</f>
        <v>0</v>
      </c>
      <c r="CX66" s="1">
        <f>$CU66*Table1[[#This Row],[Male%(0-2)]]</f>
        <v>0</v>
      </c>
      <c r="CY66" s="1">
        <f>Table1[[#This Row],[Female%  (3-5)5]]+Table1[[#This Row],[Male% (3-5)6]]</f>
        <v>0</v>
      </c>
      <c r="CZ66" s="1">
        <f>$AF66*Table1[[#This Row],[Female%  (3-5)]]</f>
        <v>0</v>
      </c>
      <c r="DA66" s="1">
        <f>$CU66*Table1[[#This Row],[Male% (3-5)]]</f>
        <v>0</v>
      </c>
      <c r="DB66" s="1">
        <f>Table1[[#This Row],[Female% (6-8)8]]+Table1[[#This Row],[Male%(6-8)9]]</f>
        <v>0</v>
      </c>
      <c r="DC66" s="1">
        <f>$CT66*Table1[[#This Row],[Female% (6-8)]]</f>
        <v>0</v>
      </c>
      <c r="DD66" s="1">
        <f>$CU66*Table1[[#This Row],[Male%(6-8)]]</f>
        <v>0</v>
      </c>
      <c r="DE66" s="1">
        <f>Table1[[#This Row],[Female% (9 - 11)11]]+Table1[[#This Row],[Male% (9 - 11)12]]</f>
        <v>0</v>
      </c>
      <c r="DF66" s="1">
        <f>$CT66*Table1[[#This Row],[Female% (9 - 11)]]</f>
        <v>0</v>
      </c>
      <c r="DG66" s="1">
        <f>$CU66*Table1[[#This Row],[Male% (9 - 11)]]</f>
        <v>0</v>
      </c>
      <c r="DH66" s="1">
        <f>Table1[[#This Row],[Female% (12-14)14]]+Table1[[#This Row],[Male%(12-14)15]]</f>
        <v>0</v>
      </c>
      <c r="DI66" s="1">
        <f>$CT66*Table1[[#This Row],[Female% (12-14)]]</f>
        <v>0</v>
      </c>
      <c r="DJ66" s="1">
        <f>$CU66*Table1[[#This Row],[Male%(12-14)]]</f>
        <v>0</v>
      </c>
      <c r="DK66" s="1">
        <f>Table1[[#This Row],[Female% (15-17)17]]+Table1[[#This Row],[Male%(15-17)18]]</f>
        <v>0</v>
      </c>
      <c r="DL66" s="1">
        <f>$CT66*Table1[[#This Row],[Female% (15-17)]]</f>
        <v>0</v>
      </c>
      <c r="DM66" s="1">
        <f>$CU66*Table1[[#This Row],[Male%(15-17)]]</f>
        <v>0</v>
      </c>
      <c r="DN66" s="1">
        <f>$AF66*Table1[[#This Row],[Total% (18-19)]]</f>
        <v>0</v>
      </c>
      <c r="DO66" s="1">
        <f>$CT66*Table1[[#This Row],[Female% (18-19)]]</f>
        <v>0</v>
      </c>
      <c r="DP66" s="1">
        <f>$CU66*Table1[[#This Row],[Male%(18-19)]]</f>
        <v>0</v>
      </c>
      <c r="DQ66" s="1">
        <f>$AF66*Table1[[#This Row],[Total% (20-24)]]</f>
        <v>0</v>
      </c>
      <c r="DR66" s="1">
        <f>$CT66*Table1[[#This Row],[Female% (20-24)]]</f>
        <v>0</v>
      </c>
      <c r="DS66" s="1">
        <f>$CU66*Table1[[#This Row],[Male% (20-24)]]</f>
        <v>0</v>
      </c>
      <c r="DT66" s="1">
        <f>$AF66*Table1[[#This Row],[Total% (25-29)]]</f>
        <v>0</v>
      </c>
      <c r="DU66" s="1">
        <f>$CT66*Table1[[#This Row],[Female% (25-29)]]</f>
        <v>0</v>
      </c>
      <c r="DV66" s="1">
        <f>$CU66*Table1[[#This Row],[Male% (25-29)]]</f>
        <v>0</v>
      </c>
      <c r="DW66" s="1">
        <f>$AF66*Table1[[#This Row],[Total%   (30-34)]]</f>
        <v>0</v>
      </c>
      <c r="DX66" s="1">
        <f>$CT66*Table1[[#This Row],[Female%   (30-34)]]</f>
        <v>0</v>
      </c>
      <c r="DY66" s="1">
        <f>$CU66*Table1[[#This Row],[Male%  (30-34)]]</f>
        <v>0</v>
      </c>
      <c r="DZ66" s="1">
        <f>$AF66*Table1[[#This Row],[Total% (35-39)]]</f>
        <v>0</v>
      </c>
      <c r="EA66" s="1">
        <f>$CT66*Table1[[#This Row],[Female% (35-39)]]</f>
        <v>0</v>
      </c>
      <c r="EB66" s="1">
        <f>$CU66*Table1[[#This Row],[Male% (35-39)]]</f>
        <v>0</v>
      </c>
      <c r="EC66" s="1">
        <f>$AF66*Table1[[#This Row],[Total% (40-44)]]</f>
        <v>0</v>
      </c>
      <c r="ED66" s="1">
        <f>$CT66*Table1[[#This Row],[Female% (40-44)]]</f>
        <v>0</v>
      </c>
      <c r="EE66" s="1">
        <f>$CU66*Table1[[#This Row],[Male%(55-59)]]</f>
        <v>0</v>
      </c>
      <c r="EF66" s="1">
        <f>$AF66*Table1[[#This Row],[Total% (45-49)]]</f>
        <v>0</v>
      </c>
      <c r="EG66" s="1">
        <f>$CT66*Table1[[#This Row],[Female% (45-49)]]</f>
        <v>0</v>
      </c>
      <c r="EH66" s="1">
        <f>$CU66*Table1[[#This Row],[Male% (45-49)]]</f>
        <v>0</v>
      </c>
      <c r="EI66" s="1">
        <f>$AF66*Table1[[#This Row],[Total% (50-54)]]</f>
        <v>0</v>
      </c>
      <c r="EJ66" s="1">
        <f>$CT66*Table1[[#This Row],[Female%(50-54)]]</f>
        <v>0</v>
      </c>
      <c r="EK66" s="1">
        <f>$CU66*Table1[[#This Row],[Male% (50-54)]]</f>
        <v>0</v>
      </c>
      <c r="EL66" s="1">
        <f>$AF66*Table1[[#This Row],[Total% (55-59)]]</f>
        <v>0</v>
      </c>
      <c r="EM66" s="1">
        <f>$CT66*Table1[[#This Row],[Female% (55-59)]]</f>
        <v>0</v>
      </c>
      <c r="EN66" s="1">
        <f>$CU66*Table1[[#This Row],[Male% (55-59)]]</f>
        <v>0</v>
      </c>
      <c r="EO66" s="1">
        <f>$AF66*Table1[[#This Row],[Total% (60-64)]]</f>
        <v>0</v>
      </c>
      <c r="EP66" s="1">
        <f>$CT66*Table1[[#This Row],[Female%(60-64)]]</f>
        <v>0</v>
      </c>
      <c r="EQ66" s="1">
        <f>$CU66*Table1[[#This Row],[Male%(60-64)]]</f>
        <v>0</v>
      </c>
      <c r="ER66" s="1">
        <f>$AF66*Table1[[#This Row],[Total% (&gt;=65)]]</f>
        <v>0</v>
      </c>
      <c r="ES66" s="1">
        <f>$CT66*Table1[[#This Row],[Female%(&gt;=65)]]</f>
        <v>0</v>
      </c>
      <c r="ET66" s="1">
        <f>$CU66*Table1[[#This Row],[Male% (&gt;=65)]]</f>
        <v>0</v>
      </c>
    </row>
    <row r="67" spans="1:150" hidden="1" x14ac:dyDescent="0.35">
      <c r="A67" t="s">
        <v>104</v>
      </c>
      <c r="B67" t="s">
        <v>105</v>
      </c>
      <c r="C67" t="s">
        <v>369</v>
      </c>
      <c r="D67" t="s">
        <v>370</v>
      </c>
      <c r="E67" t="s">
        <v>369</v>
      </c>
      <c r="F67" t="s">
        <v>371</v>
      </c>
      <c r="H67">
        <v>3</v>
      </c>
      <c r="I67" s="1">
        <v>0</v>
      </c>
      <c r="J67" s="1">
        <v>2795</v>
      </c>
      <c r="K67" s="1">
        <v>39698</v>
      </c>
      <c r="L67" s="1">
        <v>13419</v>
      </c>
      <c r="M67" s="1">
        <v>0</v>
      </c>
      <c r="N67" s="1">
        <v>53117</v>
      </c>
      <c r="O67" s="3">
        <v>1</v>
      </c>
      <c r="P67" s="3">
        <v>0</v>
      </c>
      <c r="Q67" s="3">
        <v>0</v>
      </c>
      <c r="R67" s="3">
        <v>0</v>
      </c>
      <c r="S67" s="3">
        <v>0</v>
      </c>
      <c r="T67" s="1">
        <v>55912</v>
      </c>
      <c r="U67" s="1">
        <v>0</v>
      </c>
      <c r="V67" s="10">
        <f>Table1[[#This Row],[Pop NW+RATAA]]*Table1[[#This Row],[Perc_pop_Northern_Aleppo]]</f>
        <v>0</v>
      </c>
      <c r="W67" s="10">
        <f>Table1[[#This Row],[Pop NW+RATAA]]*Table1[[#This Row],[Perc_pop_Afrin District]]</f>
        <v>0</v>
      </c>
      <c r="X67" s="10">
        <f>Table1[[#This Row],[Pop NW+RATAA]]*Table1[[#This Row],[Perc_pop_Euphrates Shiled]]</f>
        <v>0</v>
      </c>
      <c r="Y67" s="10">
        <f>Table1[[#This Row],[Pop NW+RATAA]]*Table1[[#This Row],[Perc_Pop_Idleb_NSAG]]</f>
        <v>0</v>
      </c>
      <c r="Z67" s="3">
        <v>0</v>
      </c>
      <c r="AA67" s="3">
        <v>0</v>
      </c>
      <c r="AB67" s="3">
        <v>0</v>
      </c>
      <c r="AC67" s="3">
        <v>0</v>
      </c>
      <c r="AD67" s="1">
        <v>53117</v>
      </c>
      <c r="AE67" s="1">
        <v>0</v>
      </c>
      <c r="AF67" s="1">
        <v>0</v>
      </c>
      <c r="AG67" s="1">
        <v>0</v>
      </c>
      <c r="AH67" s="1">
        <v>0</v>
      </c>
      <c r="AI67" s="1">
        <f>Table1[[#This Row],[NWS_pin]]*Table1[[#This Row],[Perc_pop_Northern_Aleppo]]</f>
        <v>0</v>
      </c>
      <c r="AJ67" s="1">
        <f>Table1[[#This Row],[NWS_pin]]*Table1[[#This Row],[Perc_pop_Afrin District]]</f>
        <v>0</v>
      </c>
      <c r="AK67" s="1">
        <f>Table1[[#This Row],[NWS_pin]]*Table1[[#This Row],[Perc_pop_Euphrates Shiled]]</f>
        <v>0</v>
      </c>
      <c r="AL67" s="1">
        <f>Table1[[#This Row],[NWS_pin]]*Table1[[#This Row],[Perc_Pop_Idleb_NSAG]]</f>
        <v>0</v>
      </c>
      <c r="AM67" s="4">
        <v>0.51948642586675098</v>
      </c>
      <c r="AN67" s="4">
        <v>0.48051357413324902</v>
      </c>
      <c r="AO67" s="4">
        <v>9.0408953532300704E-2</v>
      </c>
      <c r="AP67" s="4">
        <v>0.46105324392119201</v>
      </c>
      <c r="AQ67" s="4">
        <v>0.48001730340056298</v>
      </c>
      <c r="AR67" s="4">
        <v>1.50293228353076E-2</v>
      </c>
      <c r="AS67" s="4">
        <v>0</v>
      </c>
      <c r="AT67" s="4">
        <v>4.3900129842937598E-2</v>
      </c>
      <c r="AU67" s="4">
        <v>2.6461639277848101E-2</v>
      </c>
      <c r="AV67" s="4">
        <v>3.3332438022078401E-2</v>
      </c>
      <c r="AW67" s="4">
        <v>1.9033572986634099E-2</v>
      </c>
      <c r="AX67" s="4">
        <v>6.3256057116612599E-2</v>
      </c>
      <c r="AY67" s="4">
        <v>5.0481467714418797E-2</v>
      </c>
      <c r="AZ67" s="4">
        <v>7.7066750815393895E-2</v>
      </c>
      <c r="BA67" s="4">
        <v>5.9322464711683398E-2</v>
      </c>
      <c r="BB67" s="4">
        <v>5.3448015818083797E-2</v>
      </c>
      <c r="BC67" s="4">
        <v>6.5673370542341E-2</v>
      </c>
      <c r="BD67" s="4">
        <v>6.1399616944558602E-2</v>
      </c>
      <c r="BE67" s="4">
        <v>4.4042739780162897E-2</v>
      </c>
      <c r="BF67" s="4">
        <v>8.0164252467299899E-2</v>
      </c>
      <c r="BG67" s="4">
        <v>9.3799796207245698E-2</v>
      </c>
      <c r="BH67" s="4">
        <v>8.4460220287890797E-2</v>
      </c>
      <c r="BI67" s="4">
        <v>0.10389687394788701</v>
      </c>
      <c r="BJ67" s="4">
        <v>0.11936551234519099</v>
      </c>
      <c r="BK67" s="4">
        <v>0.102020780111618</v>
      </c>
      <c r="BL67" s="4">
        <v>0.13811701790231701</v>
      </c>
      <c r="BM67" s="4">
        <v>4.0411187935343998E-2</v>
      </c>
      <c r="BN67" s="4">
        <v>5.0193152446650902E-2</v>
      </c>
      <c r="BO67" s="4">
        <v>2.9835840941036199E-2</v>
      </c>
      <c r="BP67" s="4">
        <v>5.92697748297897E-2</v>
      </c>
      <c r="BQ67" s="4">
        <v>7.23434659401999E-2</v>
      </c>
      <c r="BR67" s="4">
        <v>4.51357202818332E-2</v>
      </c>
      <c r="BS67" s="4">
        <v>6.3089010676238594E-2</v>
      </c>
      <c r="BT67" s="4">
        <v>9.7733992257373406E-2</v>
      </c>
      <c r="BU67" s="4">
        <v>2.5634090306367201E-2</v>
      </c>
      <c r="BV67" s="4">
        <v>5.5017701360969902E-2</v>
      </c>
      <c r="BW67" s="4">
        <v>6.6623741813771606E-2</v>
      </c>
      <c r="BX67" s="4">
        <v>4.2470333715495301E-2</v>
      </c>
      <c r="BY67" s="4">
        <v>9.7604981418522793E-2</v>
      </c>
      <c r="BZ67" s="4">
        <v>9.1571746456117001E-2</v>
      </c>
      <c r="CA67" s="4">
        <v>0.104127551925897</v>
      </c>
      <c r="CB67" s="4">
        <v>6.04628103592601E-2</v>
      </c>
      <c r="CC67" s="4">
        <v>8.0805096437230897E-2</v>
      </c>
      <c r="CD67" s="4">
        <v>3.8470629373185398E-2</v>
      </c>
      <c r="CE67" s="4">
        <v>7.9259633003263705E-2</v>
      </c>
      <c r="CF67" s="4">
        <v>6.4315341396268502E-2</v>
      </c>
      <c r="CG67" s="4">
        <v>9.5416006208811396E-2</v>
      </c>
      <c r="CH67" s="4">
        <v>5.0749820927581901E-2</v>
      </c>
      <c r="CI67" s="4">
        <v>4.76978636308227E-2</v>
      </c>
      <c r="CJ67" s="4">
        <v>5.4049312291277997E-2</v>
      </c>
      <c r="CK67" s="4">
        <v>3.2933030086800701E-2</v>
      </c>
      <c r="CL67" s="4">
        <v>1.66439614480226E-2</v>
      </c>
      <c r="CM67" s="4">
        <v>5.0543250699445701E-2</v>
      </c>
      <c r="CN67" s="4">
        <v>1.42101684251589E-2</v>
      </c>
      <c r="CO67" s="4">
        <v>1.4365425608744299E-2</v>
      </c>
      <c r="CP67" s="4">
        <v>1.4042318849761599E-2</v>
      </c>
      <c r="CQ67" s="4">
        <v>2.33867943739305E-2</v>
      </c>
      <c r="CR67" s="4">
        <v>2.9920550830545199E-2</v>
      </c>
      <c r="CS67" s="4">
        <v>1.6323106745016001E-2</v>
      </c>
      <c r="CT67" s="1">
        <f>Table1[[#This Row],[Female %]]*Table1[[#This Row],[NWS_pin]]</f>
        <v>0</v>
      </c>
      <c r="CU67" s="1">
        <f>Table1[[#This Row],[Male %]]*Table1[[#This Row],[NWS_pin]]</f>
        <v>0</v>
      </c>
      <c r="CV67" s="1">
        <f>Table1[[#This Row],[Female% (0-2)22]]+Table1[[#This Row],[Male%(0-2)3]]</f>
        <v>0</v>
      </c>
      <c r="CW67" s="1">
        <f>$CT67*Table1[[#This Row],[Female% (0-2)]]</f>
        <v>0</v>
      </c>
      <c r="CX67" s="1">
        <f>$CU67*Table1[[#This Row],[Male%(0-2)]]</f>
        <v>0</v>
      </c>
      <c r="CY67" s="1">
        <f>Table1[[#This Row],[Female%  (3-5)5]]+Table1[[#This Row],[Male% (3-5)6]]</f>
        <v>0</v>
      </c>
      <c r="CZ67" s="1">
        <f>$AF67*Table1[[#This Row],[Female%  (3-5)]]</f>
        <v>0</v>
      </c>
      <c r="DA67" s="1">
        <f>$CU67*Table1[[#This Row],[Male% (3-5)]]</f>
        <v>0</v>
      </c>
      <c r="DB67" s="1">
        <f>Table1[[#This Row],[Female% (6-8)8]]+Table1[[#This Row],[Male%(6-8)9]]</f>
        <v>0</v>
      </c>
      <c r="DC67" s="1">
        <f>$CT67*Table1[[#This Row],[Female% (6-8)]]</f>
        <v>0</v>
      </c>
      <c r="DD67" s="1">
        <f>$CU67*Table1[[#This Row],[Male%(6-8)]]</f>
        <v>0</v>
      </c>
      <c r="DE67" s="1">
        <f>Table1[[#This Row],[Female% (9 - 11)11]]+Table1[[#This Row],[Male% (9 - 11)12]]</f>
        <v>0</v>
      </c>
      <c r="DF67" s="1">
        <f>$CT67*Table1[[#This Row],[Female% (9 - 11)]]</f>
        <v>0</v>
      </c>
      <c r="DG67" s="1">
        <f>$CU67*Table1[[#This Row],[Male% (9 - 11)]]</f>
        <v>0</v>
      </c>
      <c r="DH67" s="1">
        <f>Table1[[#This Row],[Female% (12-14)14]]+Table1[[#This Row],[Male%(12-14)15]]</f>
        <v>0</v>
      </c>
      <c r="DI67" s="1">
        <f>$CT67*Table1[[#This Row],[Female% (12-14)]]</f>
        <v>0</v>
      </c>
      <c r="DJ67" s="1">
        <f>$CU67*Table1[[#This Row],[Male%(12-14)]]</f>
        <v>0</v>
      </c>
      <c r="DK67" s="1">
        <f>Table1[[#This Row],[Female% (15-17)17]]+Table1[[#This Row],[Male%(15-17)18]]</f>
        <v>0</v>
      </c>
      <c r="DL67" s="1">
        <f>$CT67*Table1[[#This Row],[Female% (15-17)]]</f>
        <v>0</v>
      </c>
      <c r="DM67" s="1">
        <f>$CU67*Table1[[#This Row],[Male%(15-17)]]</f>
        <v>0</v>
      </c>
      <c r="DN67" s="1">
        <f>$AF67*Table1[[#This Row],[Total% (18-19)]]</f>
        <v>0</v>
      </c>
      <c r="DO67" s="1">
        <f>$CT67*Table1[[#This Row],[Female% (18-19)]]</f>
        <v>0</v>
      </c>
      <c r="DP67" s="1">
        <f>$CU67*Table1[[#This Row],[Male%(18-19)]]</f>
        <v>0</v>
      </c>
      <c r="DQ67" s="1">
        <f>$AF67*Table1[[#This Row],[Total% (20-24)]]</f>
        <v>0</v>
      </c>
      <c r="DR67" s="1">
        <f>$CT67*Table1[[#This Row],[Female% (20-24)]]</f>
        <v>0</v>
      </c>
      <c r="DS67" s="1">
        <f>$CU67*Table1[[#This Row],[Male% (20-24)]]</f>
        <v>0</v>
      </c>
      <c r="DT67" s="1">
        <f>$AF67*Table1[[#This Row],[Total% (25-29)]]</f>
        <v>0</v>
      </c>
      <c r="DU67" s="1">
        <f>$CT67*Table1[[#This Row],[Female% (25-29)]]</f>
        <v>0</v>
      </c>
      <c r="DV67" s="1">
        <f>$CU67*Table1[[#This Row],[Male% (25-29)]]</f>
        <v>0</v>
      </c>
      <c r="DW67" s="1">
        <f>$AF67*Table1[[#This Row],[Total%   (30-34)]]</f>
        <v>0</v>
      </c>
      <c r="DX67" s="1">
        <f>$CT67*Table1[[#This Row],[Female%   (30-34)]]</f>
        <v>0</v>
      </c>
      <c r="DY67" s="1">
        <f>$CU67*Table1[[#This Row],[Male%  (30-34)]]</f>
        <v>0</v>
      </c>
      <c r="DZ67" s="1">
        <f>$AF67*Table1[[#This Row],[Total% (35-39)]]</f>
        <v>0</v>
      </c>
      <c r="EA67" s="1">
        <f>$CT67*Table1[[#This Row],[Female% (35-39)]]</f>
        <v>0</v>
      </c>
      <c r="EB67" s="1">
        <f>$CU67*Table1[[#This Row],[Male% (35-39)]]</f>
        <v>0</v>
      </c>
      <c r="EC67" s="1">
        <f>$AF67*Table1[[#This Row],[Total% (40-44)]]</f>
        <v>0</v>
      </c>
      <c r="ED67" s="1">
        <f>$CT67*Table1[[#This Row],[Female% (40-44)]]</f>
        <v>0</v>
      </c>
      <c r="EE67" s="1">
        <f>$CU67*Table1[[#This Row],[Male%(55-59)]]</f>
        <v>0</v>
      </c>
      <c r="EF67" s="1">
        <f>$AF67*Table1[[#This Row],[Total% (45-49)]]</f>
        <v>0</v>
      </c>
      <c r="EG67" s="1">
        <f>$CT67*Table1[[#This Row],[Female% (45-49)]]</f>
        <v>0</v>
      </c>
      <c r="EH67" s="1">
        <f>$CU67*Table1[[#This Row],[Male% (45-49)]]</f>
        <v>0</v>
      </c>
      <c r="EI67" s="1">
        <f>$AF67*Table1[[#This Row],[Total% (50-54)]]</f>
        <v>0</v>
      </c>
      <c r="EJ67" s="1">
        <f>$CT67*Table1[[#This Row],[Female%(50-54)]]</f>
        <v>0</v>
      </c>
      <c r="EK67" s="1">
        <f>$CU67*Table1[[#This Row],[Male% (50-54)]]</f>
        <v>0</v>
      </c>
      <c r="EL67" s="1">
        <f>$AF67*Table1[[#This Row],[Total% (55-59)]]</f>
        <v>0</v>
      </c>
      <c r="EM67" s="1">
        <f>$CT67*Table1[[#This Row],[Female% (55-59)]]</f>
        <v>0</v>
      </c>
      <c r="EN67" s="1">
        <f>$CU67*Table1[[#This Row],[Male% (55-59)]]</f>
        <v>0</v>
      </c>
      <c r="EO67" s="1">
        <f>$AF67*Table1[[#This Row],[Total% (60-64)]]</f>
        <v>0</v>
      </c>
      <c r="EP67" s="1">
        <f>$CT67*Table1[[#This Row],[Female%(60-64)]]</f>
        <v>0</v>
      </c>
      <c r="EQ67" s="1">
        <f>$CU67*Table1[[#This Row],[Male%(60-64)]]</f>
        <v>0</v>
      </c>
      <c r="ER67" s="1">
        <f>$AF67*Table1[[#This Row],[Total% (&gt;=65)]]</f>
        <v>0</v>
      </c>
      <c r="ES67" s="1">
        <f>$CT67*Table1[[#This Row],[Female%(&gt;=65)]]</f>
        <v>0</v>
      </c>
      <c r="ET67" s="1">
        <f>$CU67*Table1[[#This Row],[Male% (&gt;=65)]]</f>
        <v>0</v>
      </c>
    </row>
    <row r="68" spans="1:150" hidden="1" x14ac:dyDescent="0.35">
      <c r="A68" t="s">
        <v>104</v>
      </c>
      <c r="B68" t="s">
        <v>105</v>
      </c>
      <c r="C68" t="s">
        <v>369</v>
      </c>
      <c r="D68" t="s">
        <v>370</v>
      </c>
      <c r="E68" t="s">
        <v>492</v>
      </c>
      <c r="F68" t="s">
        <v>493</v>
      </c>
      <c r="H68">
        <v>3</v>
      </c>
      <c r="I68" s="1">
        <v>0</v>
      </c>
      <c r="J68" s="1">
        <v>0</v>
      </c>
      <c r="K68" s="1">
        <v>33866</v>
      </c>
      <c r="L68" s="1">
        <v>10694</v>
      </c>
      <c r="M68" s="1">
        <v>0</v>
      </c>
      <c r="N68" s="1">
        <v>44560</v>
      </c>
      <c r="O68" s="3">
        <v>1</v>
      </c>
      <c r="P68" s="3">
        <v>0</v>
      </c>
      <c r="Q68" s="3">
        <v>0</v>
      </c>
      <c r="R68" s="3">
        <v>0</v>
      </c>
      <c r="S68" s="3">
        <v>0</v>
      </c>
      <c r="T68" s="1">
        <v>44560</v>
      </c>
      <c r="U68" s="1">
        <v>0</v>
      </c>
      <c r="V68" s="10">
        <f>Table1[[#This Row],[Pop NW+RATAA]]*Table1[[#This Row],[Perc_pop_Northern_Aleppo]]</f>
        <v>0</v>
      </c>
      <c r="W68" s="10">
        <f>Table1[[#This Row],[Pop NW+RATAA]]*Table1[[#This Row],[Perc_pop_Afrin District]]</f>
        <v>0</v>
      </c>
      <c r="X68" s="10">
        <f>Table1[[#This Row],[Pop NW+RATAA]]*Table1[[#This Row],[Perc_pop_Euphrates Shiled]]</f>
        <v>0</v>
      </c>
      <c r="Y68" s="10">
        <f>Table1[[#This Row],[Pop NW+RATAA]]*Table1[[#This Row],[Perc_Pop_Idleb_NSAG]]</f>
        <v>0</v>
      </c>
      <c r="Z68" s="3">
        <v>0</v>
      </c>
      <c r="AA68" s="3">
        <v>0</v>
      </c>
      <c r="AB68" s="3">
        <v>0</v>
      </c>
      <c r="AC68" s="3">
        <v>0</v>
      </c>
      <c r="AD68" s="1">
        <v>44560</v>
      </c>
      <c r="AE68" s="1">
        <v>0</v>
      </c>
      <c r="AF68" s="1">
        <v>0</v>
      </c>
      <c r="AG68" s="1">
        <v>0</v>
      </c>
      <c r="AH68" s="1">
        <v>0</v>
      </c>
      <c r="AI68" s="1">
        <f>Table1[[#This Row],[NWS_pin]]*Table1[[#This Row],[Perc_pop_Northern_Aleppo]]</f>
        <v>0</v>
      </c>
      <c r="AJ68" s="1">
        <f>Table1[[#This Row],[NWS_pin]]*Table1[[#This Row],[Perc_pop_Afrin District]]</f>
        <v>0</v>
      </c>
      <c r="AK68" s="1">
        <f>Table1[[#This Row],[NWS_pin]]*Table1[[#This Row],[Perc_pop_Euphrates Shiled]]</f>
        <v>0</v>
      </c>
      <c r="AL68" s="1">
        <f>Table1[[#This Row],[NWS_pin]]*Table1[[#This Row],[Perc_Pop_Idleb_NSAG]]</f>
        <v>0</v>
      </c>
      <c r="AM68" s="4">
        <v>0.50717218886663396</v>
      </c>
      <c r="AN68" s="4">
        <v>0.49282781113336599</v>
      </c>
      <c r="AO68" s="4">
        <v>0.115384115686607</v>
      </c>
      <c r="AP68" s="4">
        <v>0.41176813082775099</v>
      </c>
      <c r="AQ68" s="4">
        <v>0.53361168872879605</v>
      </c>
      <c r="AR68" s="4">
        <v>5.8527454152632703E-3</v>
      </c>
      <c r="AS68" s="4">
        <v>2.9263727076316399E-3</v>
      </c>
      <c r="AT68" s="4">
        <v>4.5841062320557902E-2</v>
      </c>
      <c r="AU68" s="4">
        <v>3.9372337295696003E-2</v>
      </c>
      <c r="AV68" s="4">
        <v>3.2448248191550698E-2</v>
      </c>
      <c r="AW68" s="4">
        <v>4.6497960784315701E-2</v>
      </c>
      <c r="AX68" s="4">
        <v>5.8110577566805599E-2</v>
      </c>
      <c r="AY68" s="4">
        <v>6.2886720920492897E-2</v>
      </c>
      <c r="AZ68" s="4">
        <v>5.3195418510623801E-2</v>
      </c>
      <c r="BA68" s="4">
        <v>8.2830133027052499E-2</v>
      </c>
      <c r="BB68" s="4">
        <v>7.6154341819080595E-2</v>
      </c>
      <c r="BC68" s="4">
        <v>8.9700231594699101E-2</v>
      </c>
      <c r="BD68" s="4">
        <v>7.9352426516276303E-2</v>
      </c>
      <c r="BE68" s="4">
        <v>6.20493462429886E-2</v>
      </c>
      <c r="BF68" s="4">
        <v>9.7159134859615998E-2</v>
      </c>
      <c r="BG68" s="4">
        <v>7.3474700324010406E-2</v>
      </c>
      <c r="BH68" s="4">
        <v>5.8101457720261498E-2</v>
      </c>
      <c r="BI68" s="4">
        <v>8.9295400627815297E-2</v>
      </c>
      <c r="BJ68" s="4">
        <v>6.8754407025160696E-2</v>
      </c>
      <c r="BK68" s="4">
        <v>6.2158267437659197E-2</v>
      </c>
      <c r="BL68" s="4">
        <v>7.5542535611024295E-2</v>
      </c>
      <c r="BM68" s="4">
        <v>2.7361595227982798E-2</v>
      </c>
      <c r="BN68" s="4">
        <v>2.8781920907619801E-2</v>
      </c>
      <c r="BO68" s="4">
        <v>2.5899929170240699E-2</v>
      </c>
      <c r="BP68" s="4">
        <v>5.30728581795007E-2</v>
      </c>
      <c r="BQ68" s="4">
        <v>6.5883710246012597E-2</v>
      </c>
      <c r="BR68" s="4">
        <v>3.9889130035430501E-2</v>
      </c>
      <c r="BS68" s="4">
        <v>6.3702277207072694E-2</v>
      </c>
      <c r="BT68" s="4">
        <v>8.3326268706733903E-2</v>
      </c>
      <c r="BU68" s="4">
        <v>4.3507104576098701E-2</v>
      </c>
      <c r="BV68" s="4">
        <v>7.27116219923052E-2</v>
      </c>
      <c r="BW68" s="4">
        <v>9.0678882395656593E-2</v>
      </c>
      <c r="BX68" s="4">
        <v>5.4221401714865197E-2</v>
      </c>
      <c r="BY68" s="4">
        <v>0.108796356366807</v>
      </c>
      <c r="BZ68" s="4">
        <v>0.112895359249388</v>
      </c>
      <c r="CA68" s="4">
        <v>0.104578046812911</v>
      </c>
      <c r="CB68" s="4">
        <v>7.0830325877841702E-2</v>
      </c>
      <c r="CC68" s="4">
        <v>7.5134279525017306E-2</v>
      </c>
      <c r="CD68" s="4">
        <v>6.6401100207726493E-2</v>
      </c>
      <c r="CE68" s="4">
        <v>7.3474700324010406E-2</v>
      </c>
      <c r="CF68" s="4">
        <v>6.1864056116686598E-2</v>
      </c>
      <c r="CG68" s="4">
        <v>8.54232870387861E-2</v>
      </c>
      <c r="CH68" s="4">
        <v>3.79895441267619E-2</v>
      </c>
      <c r="CI68" s="4">
        <v>3.2998617382857899E-2</v>
      </c>
      <c r="CJ68" s="4">
        <v>4.3125738115809699E-2</v>
      </c>
      <c r="CK68" s="4">
        <v>3.7706786458810898E-2</v>
      </c>
      <c r="CL68" s="4">
        <v>4.1234967987422003E-2</v>
      </c>
      <c r="CM68" s="4">
        <v>3.4075912737481402E-2</v>
      </c>
      <c r="CN68" s="4">
        <v>2.1326358158693302E-2</v>
      </c>
      <c r="CO68" s="4">
        <v>1.88446570588859E-2</v>
      </c>
      <c r="CP68" s="4">
        <v>2.3880292312708499E-2</v>
      </c>
      <c r="CQ68" s="4">
        <v>3.1132994325212299E-2</v>
      </c>
      <c r="CR68" s="4">
        <v>3.4558898091686101E-2</v>
      </c>
      <c r="CS68" s="4">
        <v>2.76073752898475E-2</v>
      </c>
      <c r="CT68" s="1">
        <f>Table1[[#This Row],[Female %]]*Table1[[#This Row],[NWS_pin]]</f>
        <v>0</v>
      </c>
      <c r="CU68" s="1">
        <f>Table1[[#This Row],[Male %]]*Table1[[#This Row],[NWS_pin]]</f>
        <v>0</v>
      </c>
      <c r="CV68" s="1">
        <f>Table1[[#This Row],[Female% (0-2)22]]+Table1[[#This Row],[Male%(0-2)3]]</f>
        <v>0</v>
      </c>
      <c r="CW68" s="1">
        <f>$CT68*Table1[[#This Row],[Female% (0-2)]]</f>
        <v>0</v>
      </c>
      <c r="CX68" s="1">
        <f>$CU68*Table1[[#This Row],[Male%(0-2)]]</f>
        <v>0</v>
      </c>
      <c r="CY68" s="1">
        <f>Table1[[#This Row],[Female%  (3-5)5]]+Table1[[#This Row],[Male% (3-5)6]]</f>
        <v>0</v>
      </c>
      <c r="CZ68" s="1">
        <f>$AF68*Table1[[#This Row],[Female%  (3-5)]]</f>
        <v>0</v>
      </c>
      <c r="DA68" s="1">
        <f>$CU68*Table1[[#This Row],[Male% (3-5)]]</f>
        <v>0</v>
      </c>
      <c r="DB68" s="1">
        <f>Table1[[#This Row],[Female% (6-8)8]]+Table1[[#This Row],[Male%(6-8)9]]</f>
        <v>0</v>
      </c>
      <c r="DC68" s="1">
        <f>$CT68*Table1[[#This Row],[Female% (6-8)]]</f>
        <v>0</v>
      </c>
      <c r="DD68" s="1">
        <f>$CU68*Table1[[#This Row],[Male%(6-8)]]</f>
        <v>0</v>
      </c>
      <c r="DE68" s="1">
        <f>Table1[[#This Row],[Female% (9 - 11)11]]+Table1[[#This Row],[Male% (9 - 11)12]]</f>
        <v>0</v>
      </c>
      <c r="DF68" s="1">
        <f>$CT68*Table1[[#This Row],[Female% (9 - 11)]]</f>
        <v>0</v>
      </c>
      <c r="DG68" s="1">
        <f>$CU68*Table1[[#This Row],[Male% (9 - 11)]]</f>
        <v>0</v>
      </c>
      <c r="DH68" s="1">
        <f>Table1[[#This Row],[Female% (12-14)14]]+Table1[[#This Row],[Male%(12-14)15]]</f>
        <v>0</v>
      </c>
      <c r="DI68" s="1">
        <f>$CT68*Table1[[#This Row],[Female% (12-14)]]</f>
        <v>0</v>
      </c>
      <c r="DJ68" s="1">
        <f>$CU68*Table1[[#This Row],[Male%(12-14)]]</f>
        <v>0</v>
      </c>
      <c r="DK68" s="1">
        <f>Table1[[#This Row],[Female% (15-17)17]]+Table1[[#This Row],[Male%(15-17)18]]</f>
        <v>0</v>
      </c>
      <c r="DL68" s="1">
        <f>$CT68*Table1[[#This Row],[Female% (15-17)]]</f>
        <v>0</v>
      </c>
      <c r="DM68" s="1">
        <f>$CU68*Table1[[#This Row],[Male%(15-17)]]</f>
        <v>0</v>
      </c>
      <c r="DN68" s="1">
        <f>$AF68*Table1[[#This Row],[Total% (18-19)]]</f>
        <v>0</v>
      </c>
      <c r="DO68" s="1">
        <f>$CT68*Table1[[#This Row],[Female% (18-19)]]</f>
        <v>0</v>
      </c>
      <c r="DP68" s="1">
        <f>$CU68*Table1[[#This Row],[Male%(18-19)]]</f>
        <v>0</v>
      </c>
      <c r="DQ68" s="1">
        <f>$AF68*Table1[[#This Row],[Total% (20-24)]]</f>
        <v>0</v>
      </c>
      <c r="DR68" s="1">
        <f>$CT68*Table1[[#This Row],[Female% (20-24)]]</f>
        <v>0</v>
      </c>
      <c r="DS68" s="1">
        <f>$CU68*Table1[[#This Row],[Male% (20-24)]]</f>
        <v>0</v>
      </c>
      <c r="DT68" s="1">
        <f>$AF68*Table1[[#This Row],[Total% (25-29)]]</f>
        <v>0</v>
      </c>
      <c r="DU68" s="1">
        <f>$CT68*Table1[[#This Row],[Female% (25-29)]]</f>
        <v>0</v>
      </c>
      <c r="DV68" s="1">
        <f>$CU68*Table1[[#This Row],[Male% (25-29)]]</f>
        <v>0</v>
      </c>
      <c r="DW68" s="1">
        <f>$AF68*Table1[[#This Row],[Total%   (30-34)]]</f>
        <v>0</v>
      </c>
      <c r="DX68" s="1">
        <f>$CT68*Table1[[#This Row],[Female%   (30-34)]]</f>
        <v>0</v>
      </c>
      <c r="DY68" s="1">
        <f>$CU68*Table1[[#This Row],[Male%  (30-34)]]</f>
        <v>0</v>
      </c>
      <c r="DZ68" s="1">
        <f>$AF68*Table1[[#This Row],[Total% (35-39)]]</f>
        <v>0</v>
      </c>
      <c r="EA68" s="1">
        <f>$CT68*Table1[[#This Row],[Female% (35-39)]]</f>
        <v>0</v>
      </c>
      <c r="EB68" s="1">
        <f>$CU68*Table1[[#This Row],[Male% (35-39)]]</f>
        <v>0</v>
      </c>
      <c r="EC68" s="1">
        <f>$AF68*Table1[[#This Row],[Total% (40-44)]]</f>
        <v>0</v>
      </c>
      <c r="ED68" s="1">
        <f>$CT68*Table1[[#This Row],[Female% (40-44)]]</f>
        <v>0</v>
      </c>
      <c r="EE68" s="1">
        <f>$CU68*Table1[[#This Row],[Male%(55-59)]]</f>
        <v>0</v>
      </c>
      <c r="EF68" s="1">
        <f>$AF68*Table1[[#This Row],[Total% (45-49)]]</f>
        <v>0</v>
      </c>
      <c r="EG68" s="1">
        <f>$CT68*Table1[[#This Row],[Female% (45-49)]]</f>
        <v>0</v>
      </c>
      <c r="EH68" s="1">
        <f>$CU68*Table1[[#This Row],[Male% (45-49)]]</f>
        <v>0</v>
      </c>
      <c r="EI68" s="1">
        <f>$AF68*Table1[[#This Row],[Total% (50-54)]]</f>
        <v>0</v>
      </c>
      <c r="EJ68" s="1">
        <f>$CT68*Table1[[#This Row],[Female%(50-54)]]</f>
        <v>0</v>
      </c>
      <c r="EK68" s="1">
        <f>$CU68*Table1[[#This Row],[Male% (50-54)]]</f>
        <v>0</v>
      </c>
      <c r="EL68" s="1">
        <f>$AF68*Table1[[#This Row],[Total% (55-59)]]</f>
        <v>0</v>
      </c>
      <c r="EM68" s="1">
        <f>$CT68*Table1[[#This Row],[Female% (55-59)]]</f>
        <v>0</v>
      </c>
      <c r="EN68" s="1">
        <f>$CU68*Table1[[#This Row],[Male% (55-59)]]</f>
        <v>0</v>
      </c>
      <c r="EO68" s="1">
        <f>$AF68*Table1[[#This Row],[Total% (60-64)]]</f>
        <v>0</v>
      </c>
      <c r="EP68" s="1">
        <f>$CT68*Table1[[#This Row],[Female%(60-64)]]</f>
        <v>0</v>
      </c>
      <c r="EQ68" s="1">
        <f>$CU68*Table1[[#This Row],[Male%(60-64)]]</f>
        <v>0</v>
      </c>
      <c r="ER68" s="1">
        <f>$AF68*Table1[[#This Row],[Total% (&gt;=65)]]</f>
        <v>0</v>
      </c>
      <c r="ES68" s="1">
        <f>$CT68*Table1[[#This Row],[Female%(&gt;=65)]]</f>
        <v>0</v>
      </c>
      <c r="ET68" s="1">
        <f>$CU68*Table1[[#This Row],[Male% (&gt;=65)]]</f>
        <v>0</v>
      </c>
    </row>
    <row r="69" spans="1:150" hidden="1" x14ac:dyDescent="0.35">
      <c r="A69" t="s">
        <v>104</v>
      </c>
      <c r="B69" t="s">
        <v>105</v>
      </c>
      <c r="C69" t="s">
        <v>106</v>
      </c>
      <c r="D69" t="s">
        <v>107</v>
      </c>
      <c r="E69" t="s">
        <v>106</v>
      </c>
      <c r="F69" t="s">
        <v>345</v>
      </c>
      <c r="H69">
        <v>3</v>
      </c>
      <c r="I69" s="1">
        <v>0</v>
      </c>
      <c r="J69" s="1">
        <v>11033</v>
      </c>
      <c r="K69" s="1">
        <v>22193</v>
      </c>
      <c r="L69" s="1">
        <v>0</v>
      </c>
      <c r="M69" s="1">
        <v>0</v>
      </c>
      <c r="N69" s="1">
        <v>22193</v>
      </c>
      <c r="O69" s="3">
        <v>1</v>
      </c>
      <c r="P69" s="3">
        <v>0</v>
      </c>
      <c r="Q69" s="3">
        <v>0</v>
      </c>
      <c r="R69" s="3">
        <v>0</v>
      </c>
      <c r="S69" s="3">
        <v>0</v>
      </c>
      <c r="T69" s="1">
        <v>33226</v>
      </c>
      <c r="U69" s="1">
        <v>0</v>
      </c>
      <c r="V69" s="10">
        <f>Table1[[#This Row],[Pop NW+RATAA]]*Table1[[#This Row],[Perc_pop_Northern_Aleppo]]</f>
        <v>0</v>
      </c>
      <c r="W69" s="10">
        <f>Table1[[#This Row],[Pop NW+RATAA]]*Table1[[#This Row],[Perc_pop_Afrin District]]</f>
        <v>0</v>
      </c>
      <c r="X69" s="10">
        <f>Table1[[#This Row],[Pop NW+RATAA]]*Table1[[#This Row],[Perc_pop_Euphrates Shiled]]</f>
        <v>0</v>
      </c>
      <c r="Y69" s="10">
        <f>Table1[[#This Row],[Pop NW+RATAA]]*Table1[[#This Row],[Perc_Pop_Idleb_NSAG]]</f>
        <v>0</v>
      </c>
      <c r="Z69" s="3">
        <v>0</v>
      </c>
      <c r="AA69" s="3">
        <v>0</v>
      </c>
      <c r="AB69" s="3">
        <v>0</v>
      </c>
      <c r="AC69" s="3">
        <v>0</v>
      </c>
      <c r="AD69" s="1">
        <v>22193</v>
      </c>
      <c r="AE69" s="1">
        <v>0</v>
      </c>
      <c r="AF69" s="1">
        <v>0</v>
      </c>
      <c r="AG69" s="1">
        <v>0</v>
      </c>
      <c r="AH69" s="1">
        <v>0</v>
      </c>
      <c r="AI69" s="1">
        <f>Table1[[#This Row],[NWS_pin]]*Table1[[#This Row],[Perc_pop_Northern_Aleppo]]</f>
        <v>0</v>
      </c>
      <c r="AJ69" s="1">
        <f>Table1[[#This Row],[NWS_pin]]*Table1[[#This Row],[Perc_pop_Afrin District]]</f>
        <v>0</v>
      </c>
      <c r="AK69" s="1">
        <f>Table1[[#This Row],[NWS_pin]]*Table1[[#This Row],[Perc_pop_Euphrates Shiled]]</f>
        <v>0</v>
      </c>
      <c r="AL69" s="1">
        <f>Table1[[#This Row],[NWS_pin]]*Table1[[#This Row],[Perc_Pop_Idleb_NSAG]]</f>
        <v>0</v>
      </c>
      <c r="AM69" s="4">
        <v>0.51636956694272695</v>
      </c>
      <c r="AN69" s="4">
        <v>0.48363043305727299</v>
      </c>
      <c r="AO69" s="4">
        <v>0.22857142857142901</v>
      </c>
      <c r="AP69" s="4">
        <v>0.46202229624889501</v>
      </c>
      <c r="AQ69" s="4">
        <v>0.48477269429866299</v>
      </c>
      <c r="AR69" s="4">
        <v>1.3021773327658401E-2</v>
      </c>
      <c r="AS69" s="4">
        <v>0</v>
      </c>
      <c r="AT69" s="4">
        <v>4.0183236124783299E-2</v>
      </c>
      <c r="AU69" s="4">
        <v>2.38190981553617E-2</v>
      </c>
      <c r="AV69" s="4">
        <v>3.3374303954730601E-2</v>
      </c>
      <c r="AW69" s="4">
        <v>1.3617057209595799E-2</v>
      </c>
      <c r="AX69" s="4">
        <v>4.8416702967762598E-2</v>
      </c>
      <c r="AY69" s="4">
        <v>5.25678346542061E-2</v>
      </c>
      <c r="AZ69" s="4">
        <v>4.39845623811978E-2</v>
      </c>
      <c r="BA69" s="4">
        <v>5.1131731655844101E-2</v>
      </c>
      <c r="BB69" s="4">
        <v>4.6121564404585799E-2</v>
      </c>
      <c r="BC69" s="4">
        <v>5.6481059814307101E-2</v>
      </c>
      <c r="BD69" s="4">
        <v>5.3915059531828097E-2</v>
      </c>
      <c r="BE69" s="4">
        <v>4.0060082899650698E-2</v>
      </c>
      <c r="BF69" s="4">
        <v>6.8707942267377003E-2</v>
      </c>
      <c r="BG69" s="4">
        <v>7.5732864034977795E-2</v>
      </c>
      <c r="BH69" s="4">
        <v>5.7712505310554198E-2</v>
      </c>
      <c r="BI69" s="4">
        <v>9.4973102437388907E-2</v>
      </c>
      <c r="BJ69" s="4">
        <v>8.4690685535687593E-2</v>
      </c>
      <c r="BK69" s="4">
        <v>7.4674092457736402E-2</v>
      </c>
      <c r="BL69" s="4">
        <v>9.5385347154078107E-2</v>
      </c>
      <c r="BM69" s="4">
        <v>2.3084915218300899E-2</v>
      </c>
      <c r="BN69" s="4">
        <v>1.8870611576025698E-2</v>
      </c>
      <c r="BO69" s="4">
        <v>2.7584504156429299E-2</v>
      </c>
      <c r="BP69" s="4">
        <v>9.6534873772191193E-2</v>
      </c>
      <c r="BQ69" s="4">
        <v>0.123599646847392</v>
      </c>
      <c r="BR69" s="4">
        <v>6.76379636586181E-2</v>
      </c>
      <c r="BS69" s="4">
        <v>0.111805810824558</v>
      </c>
      <c r="BT69" s="4">
        <v>0.154627919359108</v>
      </c>
      <c r="BU69" s="4">
        <v>6.6084879865396795E-2</v>
      </c>
      <c r="BV69" s="4">
        <v>7.2500756166629696E-2</v>
      </c>
      <c r="BW69" s="4">
        <v>7.2890787288285394E-2</v>
      </c>
      <c r="BX69" s="4">
        <v>7.2084322072293802E-2</v>
      </c>
      <c r="BY69" s="4">
        <v>8.4154073662915593E-2</v>
      </c>
      <c r="BZ69" s="4">
        <v>7.0917709902789505E-2</v>
      </c>
      <c r="CA69" s="4">
        <v>9.8286466820033697E-2</v>
      </c>
      <c r="CB69" s="4">
        <v>6.90379096416118E-2</v>
      </c>
      <c r="CC69" s="4">
        <v>7.2880318724180396E-2</v>
      </c>
      <c r="CD69" s="4">
        <v>6.4935390489869793E-2</v>
      </c>
      <c r="CE69" s="4">
        <v>5.0780430063324597E-2</v>
      </c>
      <c r="CF69" s="4">
        <v>4.4468209414573703E-2</v>
      </c>
      <c r="CG69" s="4">
        <v>5.7519953509435902E-2</v>
      </c>
      <c r="CH69" s="4">
        <v>4.72787698817594E-2</v>
      </c>
      <c r="CI69" s="4">
        <v>7.10510613594314E-2</v>
      </c>
      <c r="CJ69" s="4">
        <v>2.1897224353361801E-2</v>
      </c>
      <c r="CK69" s="4">
        <v>6.7357409185221803E-2</v>
      </c>
      <c r="CL69" s="4">
        <v>3.4000686640035201E-2</v>
      </c>
      <c r="CM69" s="4">
        <v>0.102972199318263</v>
      </c>
      <c r="CN69" s="4">
        <v>1.6911870636922299E-2</v>
      </c>
      <c r="CO69" s="4">
        <v>4.8572409485764497E-3</v>
      </c>
      <c r="CP69" s="4">
        <v>2.9782532792066201E-2</v>
      </c>
      <c r="CQ69" s="4">
        <v>2.2847039065103301E-2</v>
      </c>
      <c r="CR69" s="4">
        <v>2.73254242581384E-2</v>
      </c>
      <c r="CS69" s="4">
        <v>1.8065491700286498E-2</v>
      </c>
      <c r="CT69" s="1">
        <f>Table1[[#This Row],[Female %]]*Table1[[#This Row],[NWS_pin]]</f>
        <v>0</v>
      </c>
      <c r="CU69" s="1">
        <f>Table1[[#This Row],[Male %]]*Table1[[#This Row],[NWS_pin]]</f>
        <v>0</v>
      </c>
      <c r="CV69" s="1">
        <f>Table1[[#This Row],[Female% (0-2)22]]+Table1[[#This Row],[Male%(0-2)3]]</f>
        <v>0</v>
      </c>
      <c r="CW69" s="1">
        <f>$CT69*Table1[[#This Row],[Female% (0-2)]]</f>
        <v>0</v>
      </c>
      <c r="CX69" s="1">
        <f>$CU69*Table1[[#This Row],[Male%(0-2)]]</f>
        <v>0</v>
      </c>
      <c r="CY69" s="1">
        <f>Table1[[#This Row],[Female%  (3-5)5]]+Table1[[#This Row],[Male% (3-5)6]]</f>
        <v>0</v>
      </c>
      <c r="CZ69" s="1">
        <f>$AF69*Table1[[#This Row],[Female%  (3-5)]]</f>
        <v>0</v>
      </c>
      <c r="DA69" s="1">
        <f>$CU69*Table1[[#This Row],[Male% (3-5)]]</f>
        <v>0</v>
      </c>
      <c r="DB69" s="1">
        <f>Table1[[#This Row],[Female% (6-8)8]]+Table1[[#This Row],[Male%(6-8)9]]</f>
        <v>0</v>
      </c>
      <c r="DC69" s="1">
        <f>$CT69*Table1[[#This Row],[Female% (6-8)]]</f>
        <v>0</v>
      </c>
      <c r="DD69" s="1">
        <f>$CU69*Table1[[#This Row],[Male%(6-8)]]</f>
        <v>0</v>
      </c>
      <c r="DE69" s="1">
        <f>Table1[[#This Row],[Female% (9 - 11)11]]+Table1[[#This Row],[Male% (9 - 11)12]]</f>
        <v>0</v>
      </c>
      <c r="DF69" s="1">
        <f>$CT69*Table1[[#This Row],[Female% (9 - 11)]]</f>
        <v>0</v>
      </c>
      <c r="DG69" s="1">
        <f>$CU69*Table1[[#This Row],[Male% (9 - 11)]]</f>
        <v>0</v>
      </c>
      <c r="DH69" s="1">
        <f>Table1[[#This Row],[Female% (12-14)14]]+Table1[[#This Row],[Male%(12-14)15]]</f>
        <v>0</v>
      </c>
      <c r="DI69" s="1">
        <f>$CT69*Table1[[#This Row],[Female% (12-14)]]</f>
        <v>0</v>
      </c>
      <c r="DJ69" s="1">
        <f>$CU69*Table1[[#This Row],[Male%(12-14)]]</f>
        <v>0</v>
      </c>
      <c r="DK69" s="1">
        <f>Table1[[#This Row],[Female% (15-17)17]]+Table1[[#This Row],[Male%(15-17)18]]</f>
        <v>0</v>
      </c>
      <c r="DL69" s="1">
        <f>$CT69*Table1[[#This Row],[Female% (15-17)]]</f>
        <v>0</v>
      </c>
      <c r="DM69" s="1">
        <f>$CU69*Table1[[#This Row],[Male%(15-17)]]</f>
        <v>0</v>
      </c>
      <c r="DN69" s="1">
        <f>$AF69*Table1[[#This Row],[Total% (18-19)]]</f>
        <v>0</v>
      </c>
      <c r="DO69" s="1">
        <f>$CT69*Table1[[#This Row],[Female% (18-19)]]</f>
        <v>0</v>
      </c>
      <c r="DP69" s="1">
        <f>$CU69*Table1[[#This Row],[Male%(18-19)]]</f>
        <v>0</v>
      </c>
      <c r="DQ69" s="1">
        <f>$AF69*Table1[[#This Row],[Total% (20-24)]]</f>
        <v>0</v>
      </c>
      <c r="DR69" s="1">
        <f>$CT69*Table1[[#This Row],[Female% (20-24)]]</f>
        <v>0</v>
      </c>
      <c r="DS69" s="1">
        <f>$CU69*Table1[[#This Row],[Male% (20-24)]]</f>
        <v>0</v>
      </c>
      <c r="DT69" s="1">
        <f>$AF69*Table1[[#This Row],[Total% (25-29)]]</f>
        <v>0</v>
      </c>
      <c r="DU69" s="1">
        <f>$CT69*Table1[[#This Row],[Female% (25-29)]]</f>
        <v>0</v>
      </c>
      <c r="DV69" s="1">
        <f>$CU69*Table1[[#This Row],[Male% (25-29)]]</f>
        <v>0</v>
      </c>
      <c r="DW69" s="1">
        <f>$AF69*Table1[[#This Row],[Total%   (30-34)]]</f>
        <v>0</v>
      </c>
      <c r="DX69" s="1">
        <f>$CT69*Table1[[#This Row],[Female%   (30-34)]]</f>
        <v>0</v>
      </c>
      <c r="DY69" s="1">
        <f>$CU69*Table1[[#This Row],[Male%  (30-34)]]</f>
        <v>0</v>
      </c>
      <c r="DZ69" s="1">
        <f>$AF69*Table1[[#This Row],[Total% (35-39)]]</f>
        <v>0</v>
      </c>
      <c r="EA69" s="1">
        <f>$CT69*Table1[[#This Row],[Female% (35-39)]]</f>
        <v>0</v>
      </c>
      <c r="EB69" s="1">
        <f>$CU69*Table1[[#This Row],[Male% (35-39)]]</f>
        <v>0</v>
      </c>
      <c r="EC69" s="1">
        <f>$AF69*Table1[[#This Row],[Total% (40-44)]]</f>
        <v>0</v>
      </c>
      <c r="ED69" s="1">
        <f>$CT69*Table1[[#This Row],[Female% (40-44)]]</f>
        <v>0</v>
      </c>
      <c r="EE69" s="1">
        <f>$CU69*Table1[[#This Row],[Male%(55-59)]]</f>
        <v>0</v>
      </c>
      <c r="EF69" s="1">
        <f>$AF69*Table1[[#This Row],[Total% (45-49)]]</f>
        <v>0</v>
      </c>
      <c r="EG69" s="1">
        <f>$CT69*Table1[[#This Row],[Female% (45-49)]]</f>
        <v>0</v>
      </c>
      <c r="EH69" s="1">
        <f>$CU69*Table1[[#This Row],[Male% (45-49)]]</f>
        <v>0</v>
      </c>
      <c r="EI69" s="1">
        <f>$AF69*Table1[[#This Row],[Total% (50-54)]]</f>
        <v>0</v>
      </c>
      <c r="EJ69" s="1">
        <f>$CT69*Table1[[#This Row],[Female%(50-54)]]</f>
        <v>0</v>
      </c>
      <c r="EK69" s="1">
        <f>$CU69*Table1[[#This Row],[Male% (50-54)]]</f>
        <v>0</v>
      </c>
      <c r="EL69" s="1">
        <f>$AF69*Table1[[#This Row],[Total% (55-59)]]</f>
        <v>0</v>
      </c>
      <c r="EM69" s="1">
        <f>$CT69*Table1[[#This Row],[Female% (55-59)]]</f>
        <v>0</v>
      </c>
      <c r="EN69" s="1">
        <f>$CU69*Table1[[#This Row],[Male% (55-59)]]</f>
        <v>0</v>
      </c>
      <c r="EO69" s="1">
        <f>$AF69*Table1[[#This Row],[Total% (60-64)]]</f>
        <v>0</v>
      </c>
      <c r="EP69" s="1">
        <f>$CT69*Table1[[#This Row],[Female%(60-64)]]</f>
        <v>0</v>
      </c>
      <c r="EQ69" s="1">
        <f>$CU69*Table1[[#This Row],[Male%(60-64)]]</f>
        <v>0</v>
      </c>
      <c r="ER69" s="1">
        <f>$AF69*Table1[[#This Row],[Total% (&gt;=65)]]</f>
        <v>0</v>
      </c>
      <c r="ES69" s="1">
        <f>$CT69*Table1[[#This Row],[Female%(&gt;=65)]]</f>
        <v>0</v>
      </c>
      <c r="ET69" s="1">
        <f>$CU69*Table1[[#This Row],[Male% (&gt;=65)]]</f>
        <v>0</v>
      </c>
    </row>
    <row r="70" spans="1:150" hidden="1" x14ac:dyDescent="0.35">
      <c r="A70" t="s">
        <v>104</v>
      </c>
      <c r="B70" t="s">
        <v>105</v>
      </c>
      <c r="C70" t="s">
        <v>106</v>
      </c>
      <c r="D70" t="s">
        <v>107</v>
      </c>
      <c r="E70" t="s">
        <v>108</v>
      </c>
      <c r="F70" t="s">
        <v>109</v>
      </c>
      <c r="H70">
        <v>2</v>
      </c>
      <c r="I70" s="1">
        <v>0</v>
      </c>
      <c r="J70" s="1">
        <v>11897</v>
      </c>
      <c r="K70" s="1">
        <v>2192</v>
      </c>
      <c r="L70" s="1">
        <v>1565</v>
      </c>
      <c r="M70" s="1">
        <v>0</v>
      </c>
      <c r="N70" s="1">
        <v>3757</v>
      </c>
      <c r="O70" s="3">
        <v>1</v>
      </c>
      <c r="P70" s="3">
        <v>0</v>
      </c>
      <c r="Q70" s="3">
        <v>0</v>
      </c>
      <c r="R70" s="3">
        <v>0</v>
      </c>
      <c r="S70" s="3">
        <v>0</v>
      </c>
      <c r="T70" s="1">
        <v>15654</v>
      </c>
      <c r="U70" s="1">
        <v>0</v>
      </c>
      <c r="V70" s="10">
        <f>Table1[[#This Row],[Pop NW+RATAA]]*Table1[[#This Row],[Perc_pop_Northern_Aleppo]]</f>
        <v>0</v>
      </c>
      <c r="W70" s="10">
        <f>Table1[[#This Row],[Pop NW+RATAA]]*Table1[[#This Row],[Perc_pop_Afrin District]]</f>
        <v>0</v>
      </c>
      <c r="X70" s="10">
        <f>Table1[[#This Row],[Pop NW+RATAA]]*Table1[[#This Row],[Perc_pop_Euphrates Shiled]]</f>
        <v>0</v>
      </c>
      <c r="Y70" s="10">
        <f>Table1[[#This Row],[Pop NW+RATAA]]*Table1[[#This Row],[Perc_Pop_Idleb_NSAG]]</f>
        <v>0</v>
      </c>
      <c r="Z70" s="3">
        <v>0</v>
      </c>
      <c r="AA70" s="3">
        <v>0</v>
      </c>
      <c r="AB70" s="3">
        <v>0</v>
      </c>
      <c r="AC70" s="3">
        <v>0</v>
      </c>
      <c r="AD70" s="1">
        <v>3757</v>
      </c>
      <c r="AE70" s="1">
        <v>0</v>
      </c>
      <c r="AF70" s="1">
        <v>0</v>
      </c>
      <c r="AG70" s="1">
        <v>0</v>
      </c>
      <c r="AH70" s="1">
        <v>0</v>
      </c>
      <c r="AI70" s="1">
        <f>Table1[[#This Row],[NWS_pin]]*Table1[[#This Row],[Perc_pop_Northern_Aleppo]]</f>
        <v>0</v>
      </c>
      <c r="AJ70" s="1">
        <f>Table1[[#This Row],[NWS_pin]]*Table1[[#This Row],[Perc_pop_Afrin District]]</f>
        <v>0</v>
      </c>
      <c r="AK70" s="1">
        <f>Table1[[#This Row],[NWS_pin]]*Table1[[#This Row],[Perc_pop_Euphrates Shiled]]</f>
        <v>0</v>
      </c>
      <c r="AL70" s="1">
        <f>Table1[[#This Row],[NWS_pin]]*Table1[[#This Row],[Perc_Pop_Idleb_NSAG]]</f>
        <v>0</v>
      </c>
      <c r="AM70" s="4">
        <v>0.42632337527166803</v>
      </c>
      <c r="AN70" s="4">
        <v>0.57367662472833203</v>
      </c>
      <c r="AO70" s="4">
        <v>0.28858399664851297</v>
      </c>
      <c r="AP70" s="4">
        <v>0.45090250846547503</v>
      </c>
      <c r="AQ70" s="4">
        <v>0.53280168166088404</v>
      </c>
      <c r="AR70" s="4">
        <v>7.9859153589600697E-3</v>
      </c>
      <c r="AS70" s="4">
        <v>0</v>
      </c>
      <c r="AT70" s="4">
        <v>8.3098945146808205E-3</v>
      </c>
      <c r="AU70" s="4">
        <v>1.360073907126E-2</v>
      </c>
      <c r="AV70" s="4">
        <v>6.6437719061750999E-3</v>
      </c>
      <c r="AW70" s="4">
        <v>1.8770755759455599E-2</v>
      </c>
      <c r="AX70" s="4">
        <v>3.5001349483250697E-2</v>
      </c>
      <c r="AY70" s="4">
        <v>1.2355819277846901E-2</v>
      </c>
      <c r="AZ70" s="4">
        <v>5.1830201236720899E-2</v>
      </c>
      <c r="BA70" s="4">
        <v>6.2143558170601201E-2</v>
      </c>
      <c r="BB70" s="4">
        <v>5.8260924875485599E-2</v>
      </c>
      <c r="BC70" s="4">
        <v>6.5028907267925207E-2</v>
      </c>
      <c r="BD70" s="4">
        <v>0.108877819552699</v>
      </c>
      <c r="BE70" s="4">
        <v>6.5361054280194605E-2</v>
      </c>
      <c r="BF70" s="4">
        <v>0.14121696926211</v>
      </c>
      <c r="BG70" s="4">
        <v>9.2417547392869906E-2</v>
      </c>
      <c r="BH70" s="4">
        <v>8.1506453040602195E-2</v>
      </c>
      <c r="BI70" s="4">
        <v>0.100526043314887</v>
      </c>
      <c r="BJ70" s="4">
        <v>9.1514468895723899E-2</v>
      </c>
      <c r="BK70" s="4">
        <v>8.0382158206225504E-2</v>
      </c>
      <c r="BL70" s="4">
        <v>9.9787360038826101E-2</v>
      </c>
      <c r="BM70" s="4">
        <v>2.74737320259659E-2</v>
      </c>
      <c r="BN70" s="4">
        <v>4.1690848502837198E-2</v>
      </c>
      <c r="BO70" s="4">
        <v>1.6908391167044699E-2</v>
      </c>
      <c r="BP70" s="4">
        <v>5.1741503485755402E-2</v>
      </c>
      <c r="BQ70" s="4">
        <v>4.3625723574658798E-2</v>
      </c>
      <c r="BR70" s="4">
        <v>5.7772682961299199E-2</v>
      </c>
      <c r="BS70" s="4">
        <v>7.6072921846067607E-2</v>
      </c>
      <c r="BT70" s="4">
        <v>0.10133985541135999</v>
      </c>
      <c r="BU70" s="4">
        <v>5.7295994329766002E-2</v>
      </c>
      <c r="BV70" s="4">
        <v>9.9608022020586606E-2</v>
      </c>
      <c r="BW70" s="4">
        <v>0.14278598031509099</v>
      </c>
      <c r="BX70" s="4">
        <v>6.7520654113327402E-2</v>
      </c>
      <c r="BY70" s="4">
        <v>0.10778831759423101</v>
      </c>
      <c r="BZ70" s="4">
        <v>0.117938158249887</v>
      </c>
      <c r="CA70" s="4">
        <v>0.100245541507028</v>
      </c>
      <c r="CB70" s="4">
        <v>8.3775177728591096E-2</v>
      </c>
      <c r="CC70" s="4">
        <v>0.105007122442624</v>
      </c>
      <c r="CD70" s="4">
        <v>6.7996821170391797E-2</v>
      </c>
      <c r="CE70" s="4">
        <v>7.0815964394282296E-2</v>
      </c>
      <c r="CF70" s="4">
        <v>6.82065020455416E-2</v>
      </c>
      <c r="CG70" s="4">
        <v>7.2755166286439396E-2</v>
      </c>
      <c r="CH70" s="4">
        <v>4.0207048650434903E-2</v>
      </c>
      <c r="CI70" s="4">
        <v>4.5344035371858799E-2</v>
      </c>
      <c r="CJ70" s="4">
        <v>3.6389536443378799E-2</v>
      </c>
      <c r="CK70" s="4">
        <v>2.1431060986593E-2</v>
      </c>
      <c r="CL70" s="4">
        <v>1.13385885782865E-2</v>
      </c>
      <c r="CM70" s="4">
        <v>2.8931204301623301E-2</v>
      </c>
      <c r="CN70" s="4">
        <v>1.0498695880663199E-2</v>
      </c>
      <c r="CO70" s="4">
        <v>6.6437719061750999E-3</v>
      </c>
      <c r="CP70" s="4">
        <v>1.33634530092942E-2</v>
      </c>
      <c r="CQ70" s="4">
        <v>7.0320728204240502E-3</v>
      </c>
      <c r="CR70" s="4">
        <v>1.15692320151501E-2</v>
      </c>
      <c r="CS70" s="4">
        <v>3.6603178304826099E-3</v>
      </c>
      <c r="CT70" s="1">
        <f>Table1[[#This Row],[Female %]]*Table1[[#This Row],[NWS_pin]]</f>
        <v>0</v>
      </c>
      <c r="CU70" s="1">
        <f>Table1[[#This Row],[Male %]]*Table1[[#This Row],[NWS_pin]]</f>
        <v>0</v>
      </c>
      <c r="CV70" s="1">
        <f>Table1[[#This Row],[Female% (0-2)22]]+Table1[[#This Row],[Male%(0-2)3]]</f>
        <v>0</v>
      </c>
      <c r="CW70" s="1">
        <f>$CT70*Table1[[#This Row],[Female% (0-2)]]</f>
        <v>0</v>
      </c>
      <c r="CX70" s="1">
        <f>$CU70*Table1[[#This Row],[Male%(0-2)]]</f>
        <v>0</v>
      </c>
      <c r="CY70" s="1">
        <f>Table1[[#This Row],[Female%  (3-5)5]]+Table1[[#This Row],[Male% (3-5)6]]</f>
        <v>0</v>
      </c>
      <c r="CZ70" s="1">
        <f>$AF70*Table1[[#This Row],[Female%  (3-5)]]</f>
        <v>0</v>
      </c>
      <c r="DA70" s="1">
        <f>$CU70*Table1[[#This Row],[Male% (3-5)]]</f>
        <v>0</v>
      </c>
      <c r="DB70" s="1">
        <f>Table1[[#This Row],[Female% (6-8)8]]+Table1[[#This Row],[Male%(6-8)9]]</f>
        <v>0</v>
      </c>
      <c r="DC70" s="1">
        <f>$CT70*Table1[[#This Row],[Female% (6-8)]]</f>
        <v>0</v>
      </c>
      <c r="DD70" s="1">
        <f>$CU70*Table1[[#This Row],[Male%(6-8)]]</f>
        <v>0</v>
      </c>
      <c r="DE70" s="1">
        <f>Table1[[#This Row],[Female% (9 - 11)11]]+Table1[[#This Row],[Male% (9 - 11)12]]</f>
        <v>0</v>
      </c>
      <c r="DF70" s="1">
        <f>$CT70*Table1[[#This Row],[Female% (9 - 11)]]</f>
        <v>0</v>
      </c>
      <c r="DG70" s="1">
        <f>$CU70*Table1[[#This Row],[Male% (9 - 11)]]</f>
        <v>0</v>
      </c>
      <c r="DH70" s="1">
        <f>Table1[[#This Row],[Female% (12-14)14]]+Table1[[#This Row],[Male%(12-14)15]]</f>
        <v>0</v>
      </c>
      <c r="DI70" s="1">
        <f>$CT70*Table1[[#This Row],[Female% (12-14)]]</f>
        <v>0</v>
      </c>
      <c r="DJ70" s="1">
        <f>$CU70*Table1[[#This Row],[Male%(12-14)]]</f>
        <v>0</v>
      </c>
      <c r="DK70" s="1">
        <f>Table1[[#This Row],[Female% (15-17)17]]+Table1[[#This Row],[Male%(15-17)18]]</f>
        <v>0</v>
      </c>
      <c r="DL70" s="1">
        <f>$CT70*Table1[[#This Row],[Female% (15-17)]]</f>
        <v>0</v>
      </c>
      <c r="DM70" s="1">
        <f>$CU70*Table1[[#This Row],[Male%(15-17)]]</f>
        <v>0</v>
      </c>
      <c r="DN70" s="1">
        <f>$AF70*Table1[[#This Row],[Total% (18-19)]]</f>
        <v>0</v>
      </c>
      <c r="DO70" s="1">
        <f>$CT70*Table1[[#This Row],[Female% (18-19)]]</f>
        <v>0</v>
      </c>
      <c r="DP70" s="1">
        <f>$CU70*Table1[[#This Row],[Male%(18-19)]]</f>
        <v>0</v>
      </c>
      <c r="DQ70" s="1">
        <f>$AF70*Table1[[#This Row],[Total% (20-24)]]</f>
        <v>0</v>
      </c>
      <c r="DR70" s="1">
        <f>$CT70*Table1[[#This Row],[Female% (20-24)]]</f>
        <v>0</v>
      </c>
      <c r="DS70" s="1">
        <f>$CU70*Table1[[#This Row],[Male% (20-24)]]</f>
        <v>0</v>
      </c>
      <c r="DT70" s="1">
        <f>$AF70*Table1[[#This Row],[Total% (25-29)]]</f>
        <v>0</v>
      </c>
      <c r="DU70" s="1">
        <f>$CT70*Table1[[#This Row],[Female% (25-29)]]</f>
        <v>0</v>
      </c>
      <c r="DV70" s="1">
        <f>$CU70*Table1[[#This Row],[Male% (25-29)]]</f>
        <v>0</v>
      </c>
      <c r="DW70" s="1">
        <f>$AF70*Table1[[#This Row],[Total%   (30-34)]]</f>
        <v>0</v>
      </c>
      <c r="DX70" s="1">
        <f>$CT70*Table1[[#This Row],[Female%   (30-34)]]</f>
        <v>0</v>
      </c>
      <c r="DY70" s="1">
        <f>$CU70*Table1[[#This Row],[Male%  (30-34)]]</f>
        <v>0</v>
      </c>
      <c r="DZ70" s="1">
        <f>$AF70*Table1[[#This Row],[Total% (35-39)]]</f>
        <v>0</v>
      </c>
      <c r="EA70" s="1">
        <f>$CT70*Table1[[#This Row],[Female% (35-39)]]</f>
        <v>0</v>
      </c>
      <c r="EB70" s="1">
        <f>$CU70*Table1[[#This Row],[Male% (35-39)]]</f>
        <v>0</v>
      </c>
      <c r="EC70" s="1">
        <f>$AF70*Table1[[#This Row],[Total% (40-44)]]</f>
        <v>0</v>
      </c>
      <c r="ED70" s="1">
        <f>$CT70*Table1[[#This Row],[Female% (40-44)]]</f>
        <v>0</v>
      </c>
      <c r="EE70" s="1">
        <f>$CU70*Table1[[#This Row],[Male%(55-59)]]</f>
        <v>0</v>
      </c>
      <c r="EF70" s="1">
        <f>$AF70*Table1[[#This Row],[Total% (45-49)]]</f>
        <v>0</v>
      </c>
      <c r="EG70" s="1">
        <f>$CT70*Table1[[#This Row],[Female% (45-49)]]</f>
        <v>0</v>
      </c>
      <c r="EH70" s="1">
        <f>$CU70*Table1[[#This Row],[Male% (45-49)]]</f>
        <v>0</v>
      </c>
      <c r="EI70" s="1">
        <f>$AF70*Table1[[#This Row],[Total% (50-54)]]</f>
        <v>0</v>
      </c>
      <c r="EJ70" s="1">
        <f>$CT70*Table1[[#This Row],[Female%(50-54)]]</f>
        <v>0</v>
      </c>
      <c r="EK70" s="1">
        <f>$CU70*Table1[[#This Row],[Male% (50-54)]]</f>
        <v>0</v>
      </c>
      <c r="EL70" s="1">
        <f>$AF70*Table1[[#This Row],[Total% (55-59)]]</f>
        <v>0</v>
      </c>
      <c r="EM70" s="1">
        <f>$CT70*Table1[[#This Row],[Female% (55-59)]]</f>
        <v>0</v>
      </c>
      <c r="EN70" s="1">
        <f>$CU70*Table1[[#This Row],[Male% (55-59)]]</f>
        <v>0</v>
      </c>
      <c r="EO70" s="1">
        <f>$AF70*Table1[[#This Row],[Total% (60-64)]]</f>
        <v>0</v>
      </c>
      <c r="EP70" s="1">
        <f>$CT70*Table1[[#This Row],[Female%(60-64)]]</f>
        <v>0</v>
      </c>
      <c r="EQ70" s="1">
        <f>$CU70*Table1[[#This Row],[Male%(60-64)]]</f>
        <v>0</v>
      </c>
      <c r="ER70" s="1">
        <f>$AF70*Table1[[#This Row],[Total% (&gt;=65)]]</f>
        <v>0</v>
      </c>
      <c r="ES70" s="1">
        <f>$CT70*Table1[[#This Row],[Female%(&gt;=65)]]</f>
        <v>0</v>
      </c>
      <c r="ET70" s="1">
        <f>$CU70*Table1[[#This Row],[Male% (&gt;=65)]]</f>
        <v>0</v>
      </c>
    </row>
    <row r="71" spans="1:150" hidden="1" x14ac:dyDescent="0.35">
      <c r="A71" t="s">
        <v>104</v>
      </c>
      <c r="B71" t="s">
        <v>105</v>
      </c>
      <c r="C71" t="s">
        <v>106</v>
      </c>
      <c r="D71" t="s">
        <v>107</v>
      </c>
      <c r="E71" t="s">
        <v>241</v>
      </c>
      <c r="F71" t="s">
        <v>242</v>
      </c>
      <c r="H71">
        <v>3</v>
      </c>
      <c r="I71" s="1">
        <v>0</v>
      </c>
      <c r="J71" s="1">
        <v>2254</v>
      </c>
      <c r="K71" s="1">
        <v>23288</v>
      </c>
      <c r="L71" s="1">
        <v>502</v>
      </c>
      <c r="M71" s="1">
        <v>0</v>
      </c>
      <c r="N71" s="1">
        <v>23790</v>
      </c>
      <c r="O71" s="3">
        <v>1</v>
      </c>
      <c r="P71" s="3">
        <v>0</v>
      </c>
      <c r="Q71" s="3">
        <v>0</v>
      </c>
      <c r="R71" s="3">
        <v>0</v>
      </c>
      <c r="S71" s="3">
        <v>0</v>
      </c>
      <c r="T71" s="1">
        <v>26044</v>
      </c>
      <c r="U71" s="1">
        <v>0</v>
      </c>
      <c r="V71" s="10">
        <f>Table1[[#This Row],[Pop NW+RATAA]]*Table1[[#This Row],[Perc_pop_Northern_Aleppo]]</f>
        <v>0</v>
      </c>
      <c r="W71" s="10">
        <f>Table1[[#This Row],[Pop NW+RATAA]]*Table1[[#This Row],[Perc_pop_Afrin District]]</f>
        <v>0</v>
      </c>
      <c r="X71" s="10">
        <f>Table1[[#This Row],[Pop NW+RATAA]]*Table1[[#This Row],[Perc_pop_Euphrates Shiled]]</f>
        <v>0</v>
      </c>
      <c r="Y71" s="10">
        <f>Table1[[#This Row],[Pop NW+RATAA]]*Table1[[#This Row],[Perc_Pop_Idleb_NSAG]]</f>
        <v>0</v>
      </c>
      <c r="Z71" s="3">
        <v>0</v>
      </c>
      <c r="AA71" s="3">
        <v>0</v>
      </c>
      <c r="AB71" s="3">
        <v>0</v>
      </c>
      <c r="AC71" s="3">
        <v>0</v>
      </c>
      <c r="AD71" s="1">
        <v>23790</v>
      </c>
      <c r="AE71" s="1">
        <v>0</v>
      </c>
      <c r="AF71" s="1">
        <v>0</v>
      </c>
      <c r="AG71" s="1">
        <v>0</v>
      </c>
      <c r="AH71" s="1">
        <v>0</v>
      </c>
      <c r="AI71" s="1">
        <f>Table1[[#This Row],[NWS_pin]]*Table1[[#This Row],[Perc_pop_Northern_Aleppo]]</f>
        <v>0</v>
      </c>
      <c r="AJ71" s="1">
        <f>Table1[[#This Row],[NWS_pin]]*Table1[[#This Row],[Perc_pop_Afrin District]]</f>
        <v>0</v>
      </c>
      <c r="AK71" s="1">
        <f>Table1[[#This Row],[NWS_pin]]*Table1[[#This Row],[Perc_pop_Euphrates Shiled]]</f>
        <v>0</v>
      </c>
      <c r="AL71" s="1">
        <f>Table1[[#This Row],[NWS_pin]]*Table1[[#This Row],[Perc_Pop_Idleb_NSAG]]</f>
        <v>0</v>
      </c>
      <c r="AM71" s="4">
        <v>0.527435918381017</v>
      </c>
      <c r="AN71" s="4">
        <v>0.472564081618983</v>
      </c>
      <c r="AO71" s="4">
        <v>0.196121567218491</v>
      </c>
      <c r="AP71" s="4">
        <v>0.43646256465241501</v>
      </c>
      <c r="AQ71" s="4">
        <v>0.48016228154415902</v>
      </c>
      <c r="AR71" s="4">
        <v>1.70141838249586E-2</v>
      </c>
      <c r="AS71" s="4">
        <v>8.5976148728460003E-3</v>
      </c>
      <c r="AT71" s="4">
        <v>5.7763355105621597E-2</v>
      </c>
      <c r="AU71" s="4">
        <v>5.2850214810617198E-2</v>
      </c>
      <c r="AV71" s="4">
        <v>3.3651788491297498E-2</v>
      </c>
      <c r="AW71" s="4">
        <v>7.4277868775577197E-2</v>
      </c>
      <c r="AX71" s="4">
        <v>9.3461849871347299E-2</v>
      </c>
      <c r="AY71" s="4">
        <v>0.100573508608694</v>
      </c>
      <c r="AZ71" s="4">
        <v>8.5524420000472501E-2</v>
      </c>
      <c r="BA71" s="4">
        <v>8.8940756759573705E-2</v>
      </c>
      <c r="BB71" s="4">
        <v>5.97526743870328E-2</v>
      </c>
      <c r="BC71" s="4">
        <v>0.121518016925433</v>
      </c>
      <c r="BD71" s="4">
        <v>6.3298371498862999E-2</v>
      </c>
      <c r="BE71" s="4">
        <v>5.7586282457348599E-2</v>
      </c>
      <c r="BF71" s="4">
        <v>6.9673720465639494E-2</v>
      </c>
      <c r="BG71" s="4">
        <v>7.6287792139852401E-2</v>
      </c>
      <c r="BH71" s="4">
        <v>8.3041905271382097E-2</v>
      </c>
      <c r="BI71" s="4">
        <v>6.8749424327019207E-2</v>
      </c>
      <c r="BJ71" s="4">
        <v>7.0536593311172804E-2</v>
      </c>
      <c r="BK71" s="4">
        <v>7.5616450636200094E-2</v>
      </c>
      <c r="BL71" s="4">
        <v>6.4866887724808295E-2</v>
      </c>
      <c r="BM71" s="4">
        <v>3.1221289905585599E-2</v>
      </c>
      <c r="BN71" s="4">
        <v>3.45287058374186E-2</v>
      </c>
      <c r="BO71" s="4">
        <v>2.7529832963919799E-2</v>
      </c>
      <c r="BP71" s="4">
        <v>5.93794568692756E-2</v>
      </c>
      <c r="BQ71" s="4">
        <v>6.6771403421156297E-2</v>
      </c>
      <c r="BR71" s="4">
        <v>5.1129193529629503E-2</v>
      </c>
      <c r="BS71" s="4">
        <v>7.4385703558077207E-2</v>
      </c>
      <c r="BT71" s="4">
        <v>9.9868382354682206E-2</v>
      </c>
      <c r="BU71" s="4">
        <v>4.5944100362486598E-2</v>
      </c>
      <c r="BV71" s="4">
        <v>8.0034967226614198E-2</v>
      </c>
      <c r="BW71" s="4">
        <v>9.7728020761323101E-2</v>
      </c>
      <c r="BX71" s="4">
        <v>6.0287482593264802E-2</v>
      </c>
      <c r="BY71" s="4">
        <v>9.4888494503316601E-2</v>
      </c>
      <c r="BZ71" s="4">
        <v>8.4791069927705798E-2</v>
      </c>
      <c r="CA71" s="4">
        <v>0.10615838278190599</v>
      </c>
      <c r="CB71" s="4">
        <v>4.32945383580065E-2</v>
      </c>
      <c r="CC71" s="4">
        <v>3.3377299530603297E-2</v>
      </c>
      <c r="CD71" s="4">
        <v>5.43633185979586E-2</v>
      </c>
      <c r="CE71" s="4">
        <v>4.6517085119309701E-2</v>
      </c>
      <c r="CF71" s="4">
        <v>4.2255955465546502E-2</v>
      </c>
      <c r="CG71" s="4">
        <v>5.1272996369638703E-2</v>
      </c>
      <c r="CH71" s="4">
        <v>2.9096991887671501E-2</v>
      </c>
      <c r="CI71" s="4">
        <v>3.3947751847859899E-2</v>
      </c>
      <c r="CJ71" s="4">
        <v>2.3682985334988301E-2</v>
      </c>
      <c r="CK71" s="4">
        <v>3.5240289220440001E-2</v>
      </c>
      <c r="CL71" s="4">
        <v>3.7572015113224E-2</v>
      </c>
      <c r="CM71" s="4">
        <v>3.2637814687335398E-2</v>
      </c>
      <c r="CN71" s="4">
        <v>2.7049513149803299E-2</v>
      </c>
      <c r="CO71" s="4">
        <v>2.5085900272866501E-2</v>
      </c>
      <c r="CP71" s="4">
        <v>2.9241131178714401E-2</v>
      </c>
      <c r="CQ71" s="4">
        <v>3.3516091810473499E-2</v>
      </c>
      <c r="CR71" s="4">
        <v>3.3850885615658202E-2</v>
      </c>
      <c r="CS71" s="4">
        <v>3.3142423381208E-2</v>
      </c>
      <c r="CT71" s="1">
        <f>Table1[[#This Row],[Female %]]*Table1[[#This Row],[NWS_pin]]</f>
        <v>0</v>
      </c>
      <c r="CU71" s="1">
        <f>Table1[[#This Row],[Male %]]*Table1[[#This Row],[NWS_pin]]</f>
        <v>0</v>
      </c>
      <c r="CV71" s="1">
        <f>Table1[[#This Row],[Female% (0-2)22]]+Table1[[#This Row],[Male%(0-2)3]]</f>
        <v>0</v>
      </c>
      <c r="CW71" s="1">
        <f>$CT71*Table1[[#This Row],[Female% (0-2)]]</f>
        <v>0</v>
      </c>
      <c r="CX71" s="1">
        <f>$CU71*Table1[[#This Row],[Male%(0-2)]]</f>
        <v>0</v>
      </c>
      <c r="CY71" s="1">
        <f>Table1[[#This Row],[Female%  (3-5)5]]+Table1[[#This Row],[Male% (3-5)6]]</f>
        <v>0</v>
      </c>
      <c r="CZ71" s="1">
        <f>$AF71*Table1[[#This Row],[Female%  (3-5)]]</f>
        <v>0</v>
      </c>
      <c r="DA71" s="1">
        <f>$CU71*Table1[[#This Row],[Male% (3-5)]]</f>
        <v>0</v>
      </c>
      <c r="DB71" s="1">
        <f>Table1[[#This Row],[Female% (6-8)8]]+Table1[[#This Row],[Male%(6-8)9]]</f>
        <v>0</v>
      </c>
      <c r="DC71" s="1">
        <f>$CT71*Table1[[#This Row],[Female% (6-8)]]</f>
        <v>0</v>
      </c>
      <c r="DD71" s="1">
        <f>$CU71*Table1[[#This Row],[Male%(6-8)]]</f>
        <v>0</v>
      </c>
      <c r="DE71" s="1">
        <f>Table1[[#This Row],[Female% (9 - 11)11]]+Table1[[#This Row],[Male% (9 - 11)12]]</f>
        <v>0</v>
      </c>
      <c r="DF71" s="1">
        <f>$CT71*Table1[[#This Row],[Female% (9 - 11)]]</f>
        <v>0</v>
      </c>
      <c r="DG71" s="1">
        <f>$CU71*Table1[[#This Row],[Male% (9 - 11)]]</f>
        <v>0</v>
      </c>
      <c r="DH71" s="1">
        <f>Table1[[#This Row],[Female% (12-14)14]]+Table1[[#This Row],[Male%(12-14)15]]</f>
        <v>0</v>
      </c>
      <c r="DI71" s="1">
        <f>$CT71*Table1[[#This Row],[Female% (12-14)]]</f>
        <v>0</v>
      </c>
      <c r="DJ71" s="1">
        <f>$CU71*Table1[[#This Row],[Male%(12-14)]]</f>
        <v>0</v>
      </c>
      <c r="DK71" s="1">
        <f>Table1[[#This Row],[Female% (15-17)17]]+Table1[[#This Row],[Male%(15-17)18]]</f>
        <v>0</v>
      </c>
      <c r="DL71" s="1">
        <f>$CT71*Table1[[#This Row],[Female% (15-17)]]</f>
        <v>0</v>
      </c>
      <c r="DM71" s="1">
        <f>$CU71*Table1[[#This Row],[Male%(15-17)]]</f>
        <v>0</v>
      </c>
      <c r="DN71" s="1">
        <f>$AF71*Table1[[#This Row],[Total% (18-19)]]</f>
        <v>0</v>
      </c>
      <c r="DO71" s="1">
        <f>$CT71*Table1[[#This Row],[Female% (18-19)]]</f>
        <v>0</v>
      </c>
      <c r="DP71" s="1">
        <f>$CU71*Table1[[#This Row],[Male%(18-19)]]</f>
        <v>0</v>
      </c>
      <c r="DQ71" s="1">
        <f>$AF71*Table1[[#This Row],[Total% (20-24)]]</f>
        <v>0</v>
      </c>
      <c r="DR71" s="1">
        <f>$CT71*Table1[[#This Row],[Female% (20-24)]]</f>
        <v>0</v>
      </c>
      <c r="DS71" s="1">
        <f>$CU71*Table1[[#This Row],[Male% (20-24)]]</f>
        <v>0</v>
      </c>
      <c r="DT71" s="1">
        <f>$AF71*Table1[[#This Row],[Total% (25-29)]]</f>
        <v>0</v>
      </c>
      <c r="DU71" s="1">
        <f>$CT71*Table1[[#This Row],[Female% (25-29)]]</f>
        <v>0</v>
      </c>
      <c r="DV71" s="1">
        <f>$CU71*Table1[[#This Row],[Male% (25-29)]]</f>
        <v>0</v>
      </c>
      <c r="DW71" s="1">
        <f>$AF71*Table1[[#This Row],[Total%   (30-34)]]</f>
        <v>0</v>
      </c>
      <c r="DX71" s="1">
        <f>$CT71*Table1[[#This Row],[Female%   (30-34)]]</f>
        <v>0</v>
      </c>
      <c r="DY71" s="1">
        <f>$CU71*Table1[[#This Row],[Male%  (30-34)]]</f>
        <v>0</v>
      </c>
      <c r="DZ71" s="1">
        <f>$AF71*Table1[[#This Row],[Total% (35-39)]]</f>
        <v>0</v>
      </c>
      <c r="EA71" s="1">
        <f>$CT71*Table1[[#This Row],[Female% (35-39)]]</f>
        <v>0</v>
      </c>
      <c r="EB71" s="1">
        <f>$CU71*Table1[[#This Row],[Male% (35-39)]]</f>
        <v>0</v>
      </c>
      <c r="EC71" s="1">
        <f>$AF71*Table1[[#This Row],[Total% (40-44)]]</f>
        <v>0</v>
      </c>
      <c r="ED71" s="1">
        <f>$CT71*Table1[[#This Row],[Female% (40-44)]]</f>
        <v>0</v>
      </c>
      <c r="EE71" s="1">
        <f>$CU71*Table1[[#This Row],[Male%(55-59)]]</f>
        <v>0</v>
      </c>
      <c r="EF71" s="1">
        <f>$AF71*Table1[[#This Row],[Total% (45-49)]]</f>
        <v>0</v>
      </c>
      <c r="EG71" s="1">
        <f>$CT71*Table1[[#This Row],[Female% (45-49)]]</f>
        <v>0</v>
      </c>
      <c r="EH71" s="1">
        <f>$CU71*Table1[[#This Row],[Male% (45-49)]]</f>
        <v>0</v>
      </c>
      <c r="EI71" s="1">
        <f>$AF71*Table1[[#This Row],[Total% (50-54)]]</f>
        <v>0</v>
      </c>
      <c r="EJ71" s="1">
        <f>$CT71*Table1[[#This Row],[Female%(50-54)]]</f>
        <v>0</v>
      </c>
      <c r="EK71" s="1">
        <f>$CU71*Table1[[#This Row],[Male% (50-54)]]</f>
        <v>0</v>
      </c>
      <c r="EL71" s="1">
        <f>$AF71*Table1[[#This Row],[Total% (55-59)]]</f>
        <v>0</v>
      </c>
      <c r="EM71" s="1">
        <f>$CT71*Table1[[#This Row],[Female% (55-59)]]</f>
        <v>0</v>
      </c>
      <c r="EN71" s="1">
        <f>$CU71*Table1[[#This Row],[Male% (55-59)]]</f>
        <v>0</v>
      </c>
      <c r="EO71" s="1">
        <f>$AF71*Table1[[#This Row],[Total% (60-64)]]</f>
        <v>0</v>
      </c>
      <c r="EP71" s="1">
        <f>$CT71*Table1[[#This Row],[Female%(60-64)]]</f>
        <v>0</v>
      </c>
      <c r="EQ71" s="1">
        <f>$CU71*Table1[[#This Row],[Male%(60-64)]]</f>
        <v>0</v>
      </c>
      <c r="ER71" s="1">
        <f>$AF71*Table1[[#This Row],[Total% (&gt;=65)]]</f>
        <v>0</v>
      </c>
      <c r="ES71" s="1">
        <f>$CT71*Table1[[#This Row],[Female%(&gt;=65)]]</f>
        <v>0</v>
      </c>
      <c r="ET71" s="1">
        <f>$CU71*Table1[[#This Row],[Male% (&gt;=65)]]</f>
        <v>0</v>
      </c>
    </row>
    <row r="72" spans="1:150" hidden="1" x14ac:dyDescent="0.35">
      <c r="A72" t="s">
        <v>104</v>
      </c>
      <c r="B72" t="s">
        <v>105</v>
      </c>
      <c r="C72" t="s">
        <v>106</v>
      </c>
      <c r="D72" t="s">
        <v>107</v>
      </c>
      <c r="E72" t="s">
        <v>443</v>
      </c>
      <c r="F72" t="s">
        <v>444</v>
      </c>
      <c r="H72">
        <v>3</v>
      </c>
      <c r="I72" s="1">
        <v>0</v>
      </c>
      <c r="J72" s="1">
        <v>0</v>
      </c>
      <c r="K72" s="1">
        <v>27544</v>
      </c>
      <c r="L72" s="1">
        <v>3255</v>
      </c>
      <c r="M72" s="1">
        <v>0</v>
      </c>
      <c r="N72" s="1">
        <v>30799</v>
      </c>
      <c r="O72" s="3">
        <v>1</v>
      </c>
      <c r="P72" s="3">
        <v>0</v>
      </c>
      <c r="Q72" s="3">
        <v>0</v>
      </c>
      <c r="R72" s="3">
        <v>0</v>
      </c>
      <c r="S72" s="3">
        <v>0</v>
      </c>
      <c r="T72" s="1">
        <v>30799</v>
      </c>
      <c r="U72" s="1">
        <v>0</v>
      </c>
      <c r="V72" s="10">
        <f>Table1[[#This Row],[Pop NW+RATAA]]*Table1[[#This Row],[Perc_pop_Northern_Aleppo]]</f>
        <v>0</v>
      </c>
      <c r="W72" s="10">
        <f>Table1[[#This Row],[Pop NW+RATAA]]*Table1[[#This Row],[Perc_pop_Afrin District]]</f>
        <v>0</v>
      </c>
      <c r="X72" s="10">
        <f>Table1[[#This Row],[Pop NW+RATAA]]*Table1[[#This Row],[Perc_pop_Euphrates Shiled]]</f>
        <v>0</v>
      </c>
      <c r="Y72" s="10">
        <f>Table1[[#This Row],[Pop NW+RATAA]]*Table1[[#This Row],[Perc_Pop_Idleb_NSAG]]</f>
        <v>0</v>
      </c>
      <c r="Z72" s="3">
        <v>0</v>
      </c>
      <c r="AA72" s="3">
        <v>0</v>
      </c>
      <c r="AB72" s="3">
        <v>0</v>
      </c>
      <c r="AC72" s="3">
        <v>0</v>
      </c>
      <c r="AD72" s="1">
        <v>30799</v>
      </c>
      <c r="AE72" s="1">
        <v>0</v>
      </c>
      <c r="AF72" s="1">
        <v>0</v>
      </c>
      <c r="AG72" s="1">
        <v>0</v>
      </c>
      <c r="AH72" s="1">
        <v>0</v>
      </c>
      <c r="AI72" s="1">
        <f>Table1[[#This Row],[NWS_pin]]*Table1[[#This Row],[Perc_pop_Northern_Aleppo]]</f>
        <v>0</v>
      </c>
      <c r="AJ72" s="1">
        <f>Table1[[#This Row],[NWS_pin]]*Table1[[#This Row],[Perc_pop_Afrin District]]</f>
        <v>0</v>
      </c>
      <c r="AK72" s="1">
        <f>Table1[[#This Row],[NWS_pin]]*Table1[[#This Row],[Perc_pop_Euphrates Shiled]]</f>
        <v>0</v>
      </c>
      <c r="AL72" s="1">
        <f>Table1[[#This Row],[NWS_pin]]*Table1[[#This Row],[Perc_Pop_Idleb_NSAG]]</f>
        <v>0</v>
      </c>
      <c r="AM72" s="4">
        <v>0.515273625106348</v>
      </c>
      <c r="AN72" s="4">
        <v>0.484726374893652</v>
      </c>
      <c r="AO72" s="4">
        <v>0.23336081794195199</v>
      </c>
      <c r="AP72" s="4">
        <v>0.43157930643084502</v>
      </c>
      <c r="AQ72" s="4">
        <v>0.52005301990734898</v>
      </c>
      <c r="AR72" s="4">
        <v>1.4180107337320899E-2</v>
      </c>
      <c r="AS72" s="4">
        <v>2.91367582492157E-3</v>
      </c>
      <c r="AT72" s="4">
        <v>3.1273890499563299E-2</v>
      </c>
      <c r="AU72" s="4">
        <v>1.48859982549953E-2</v>
      </c>
      <c r="AV72" s="4">
        <v>1.9310390196405899E-2</v>
      </c>
      <c r="AW72" s="4">
        <v>1.01827830131134E-2</v>
      </c>
      <c r="AX72" s="4">
        <v>6.8294089924122794E-2</v>
      </c>
      <c r="AY72" s="4">
        <v>6.0851647956855402E-2</v>
      </c>
      <c r="AZ72" s="4">
        <v>7.6205551422290393E-2</v>
      </c>
      <c r="BA72" s="4">
        <v>8.2924399054968401E-2</v>
      </c>
      <c r="BB72" s="4">
        <v>8.9053043935616499E-2</v>
      </c>
      <c r="BC72" s="4">
        <v>7.6409529577659993E-2</v>
      </c>
      <c r="BD72" s="4">
        <v>8.00831665334263E-2</v>
      </c>
      <c r="BE72" s="4">
        <v>7.9282046852181903E-2</v>
      </c>
      <c r="BF72" s="4">
        <v>8.0934772436631705E-2</v>
      </c>
      <c r="BG72" s="4">
        <v>7.8264690508482795E-2</v>
      </c>
      <c r="BH72" s="4">
        <v>7.6745340696545997E-2</v>
      </c>
      <c r="BI72" s="4">
        <v>7.98797891000812E-2</v>
      </c>
      <c r="BJ72" s="4">
        <v>8.5353126920021005E-2</v>
      </c>
      <c r="BK72" s="4">
        <v>0.104490234950692</v>
      </c>
      <c r="BL72" s="4">
        <v>6.50100064715433E-2</v>
      </c>
      <c r="BM72" s="4">
        <v>2.9850404276160501E-2</v>
      </c>
      <c r="BN72" s="4">
        <v>1.9310390196405899E-2</v>
      </c>
      <c r="BO72" s="4">
        <v>4.1054645565359198E-2</v>
      </c>
      <c r="BP72" s="4">
        <v>4.6575344381738999E-2</v>
      </c>
      <c r="BQ72" s="4">
        <v>1.42925835953814E-2</v>
      </c>
      <c r="BR72" s="4">
        <v>8.0892551037715005E-2</v>
      </c>
      <c r="BS72" s="4">
        <v>0.13516174265415201</v>
      </c>
      <c r="BT72" s="4">
        <v>0.17633021792328901</v>
      </c>
      <c r="BU72" s="4">
        <v>9.1398847563734106E-2</v>
      </c>
      <c r="BV72" s="4">
        <v>8.2511894398478794E-2</v>
      </c>
      <c r="BW72" s="4">
        <v>8.0162038153261297E-2</v>
      </c>
      <c r="BX72" s="4">
        <v>8.5009837585947601E-2</v>
      </c>
      <c r="BY72" s="4">
        <v>8.7348884302944199E-2</v>
      </c>
      <c r="BZ72" s="4">
        <v>9.4070850536641007E-2</v>
      </c>
      <c r="CA72" s="4">
        <v>8.0203302612986901E-2</v>
      </c>
      <c r="CB72" s="4">
        <v>4.1639480885463903E-2</v>
      </c>
      <c r="CC72" s="4">
        <v>2.8737334432301202E-2</v>
      </c>
      <c r="CD72" s="4">
        <v>5.5354715126705097E-2</v>
      </c>
      <c r="CE72" s="4">
        <v>5.9032614771681702E-2</v>
      </c>
      <c r="CF72" s="4">
        <v>6.7014061977573799E-2</v>
      </c>
      <c r="CG72" s="4">
        <v>5.0548180153744501E-2</v>
      </c>
      <c r="CH72" s="4">
        <v>5.18248389426939E-2</v>
      </c>
      <c r="CI72" s="4">
        <v>4.3142366904758603E-2</v>
      </c>
      <c r="CJ72" s="4">
        <v>6.1054476679763499E-2</v>
      </c>
      <c r="CK72" s="4">
        <v>2.4658851655735701E-2</v>
      </c>
      <c r="CL72" s="4">
        <v>2.35276422252759E-2</v>
      </c>
      <c r="CM72" s="4">
        <v>2.5861349423915499E-2</v>
      </c>
      <c r="CN72" s="4">
        <v>1.94672990353109E-2</v>
      </c>
      <c r="CO72" s="4">
        <v>9.7312787189721695E-3</v>
      </c>
      <c r="CP72" s="4">
        <v>2.9816879215695299E-2</v>
      </c>
      <c r="CQ72" s="4">
        <v>1.2123173499623101E-2</v>
      </c>
      <c r="CR72" s="4">
        <v>1.39485307478421E-2</v>
      </c>
      <c r="CS72" s="4">
        <v>1.01827830131134E-2</v>
      </c>
      <c r="CT72" s="1">
        <f>Table1[[#This Row],[Female %]]*Table1[[#This Row],[NWS_pin]]</f>
        <v>0</v>
      </c>
      <c r="CU72" s="1">
        <f>Table1[[#This Row],[Male %]]*Table1[[#This Row],[NWS_pin]]</f>
        <v>0</v>
      </c>
      <c r="CV72" s="1">
        <f>Table1[[#This Row],[Female% (0-2)22]]+Table1[[#This Row],[Male%(0-2)3]]</f>
        <v>0</v>
      </c>
      <c r="CW72" s="1">
        <f>$CT72*Table1[[#This Row],[Female% (0-2)]]</f>
        <v>0</v>
      </c>
      <c r="CX72" s="1">
        <f>$CU72*Table1[[#This Row],[Male%(0-2)]]</f>
        <v>0</v>
      </c>
      <c r="CY72" s="1">
        <f>Table1[[#This Row],[Female%  (3-5)5]]+Table1[[#This Row],[Male% (3-5)6]]</f>
        <v>0</v>
      </c>
      <c r="CZ72" s="1">
        <f>$AF72*Table1[[#This Row],[Female%  (3-5)]]</f>
        <v>0</v>
      </c>
      <c r="DA72" s="1">
        <f>$CU72*Table1[[#This Row],[Male% (3-5)]]</f>
        <v>0</v>
      </c>
      <c r="DB72" s="1">
        <f>Table1[[#This Row],[Female% (6-8)8]]+Table1[[#This Row],[Male%(6-8)9]]</f>
        <v>0</v>
      </c>
      <c r="DC72" s="1">
        <f>$CT72*Table1[[#This Row],[Female% (6-8)]]</f>
        <v>0</v>
      </c>
      <c r="DD72" s="1">
        <f>$CU72*Table1[[#This Row],[Male%(6-8)]]</f>
        <v>0</v>
      </c>
      <c r="DE72" s="1">
        <f>Table1[[#This Row],[Female% (9 - 11)11]]+Table1[[#This Row],[Male% (9 - 11)12]]</f>
        <v>0</v>
      </c>
      <c r="DF72" s="1">
        <f>$CT72*Table1[[#This Row],[Female% (9 - 11)]]</f>
        <v>0</v>
      </c>
      <c r="DG72" s="1">
        <f>$CU72*Table1[[#This Row],[Male% (9 - 11)]]</f>
        <v>0</v>
      </c>
      <c r="DH72" s="1">
        <f>Table1[[#This Row],[Female% (12-14)14]]+Table1[[#This Row],[Male%(12-14)15]]</f>
        <v>0</v>
      </c>
      <c r="DI72" s="1">
        <f>$CT72*Table1[[#This Row],[Female% (12-14)]]</f>
        <v>0</v>
      </c>
      <c r="DJ72" s="1">
        <f>$CU72*Table1[[#This Row],[Male%(12-14)]]</f>
        <v>0</v>
      </c>
      <c r="DK72" s="1">
        <f>Table1[[#This Row],[Female% (15-17)17]]+Table1[[#This Row],[Male%(15-17)18]]</f>
        <v>0</v>
      </c>
      <c r="DL72" s="1">
        <f>$CT72*Table1[[#This Row],[Female% (15-17)]]</f>
        <v>0</v>
      </c>
      <c r="DM72" s="1">
        <f>$CU72*Table1[[#This Row],[Male%(15-17)]]</f>
        <v>0</v>
      </c>
      <c r="DN72" s="1">
        <f>$AF72*Table1[[#This Row],[Total% (18-19)]]</f>
        <v>0</v>
      </c>
      <c r="DO72" s="1">
        <f>$CT72*Table1[[#This Row],[Female% (18-19)]]</f>
        <v>0</v>
      </c>
      <c r="DP72" s="1">
        <f>$CU72*Table1[[#This Row],[Male%(18-19)]]</f>
        <v>0</v>
      </c>
      <c r="DQ72" s="1">
        <f>$AF72*Table1[[#This Row],[Total% (20-24)]]</f>
        <v>0</v>
      </c>
      <c r="DR72" s="1">
        <f>$CT72*Table1[[#This Row],[Female% (20-24)]]</f>
        <v>0</v>
      </c>
      <c r="DS72" s="1">
        <f>$CU72*Table1[[#This Row],[Male% (20-24)]]</f>
        <v>0</v>
      </c>
      <c r="DT72" s="1">
        <f>$AF72*Table1[[#This Row],[Total% (25-29)]]</f>
        <v>0</v>
      </c>
      <c r="DU72" s="1">
        <f>$CT72*Table1[[#This Row],[Female% (25-29)]]</f>
        <v>0</v>
      </c>
      <c r="DV72" s="1">
        <f>$CU72*Table1[[#This Row],[Male% (25-29)]]</f>
        <v>0</v>
      </c>
      <c r="DW72" s="1">
        <f>$AF72*Table1[[#This Row],[Total%   (30-34)]]</f>
        <v>0</v>
      </c>
      <c r="DX72" s="1">
        <f>$CT72*Table1[[#This Row],[Female%   (30-34)]]</f>
        <v>0</v>
      </c>
      <c r="DY72" s="1">
        <f>$CU72*Table1[[#This Row],[Male%  (30-34)]]</f>
        <v>0</v>
      </c>
      <c r="DZ72" s="1">
        <f>$AF72*Table1[[#This Row],[Total% (35-39)]]</f>
        <v>0</v>
      </c>
      <c r="EA72" s="1">
        <f>$CT72*Table1[[#This Row],[Female% (35-39)]]</f>
        <v>0</v>
      </c>
      <c r="EB72" s="1">
        <f>$CU72*Table1[[#This Row],[Male% (35-39)]]</f>
        <v>0</v>
      </c>
      <c r="EC72" s="1">
        <f>$AF72*Table1[[#This Row],[Total% (40-44)]]</f>
        <v>0</v>
      </c>
      <c r="ED72" s="1">
        <f>$CT72*Table1[[#This Row],[Female% (40-44)]]</f>
        <v>0</v>
      </c>
      <c r="EE72" s="1">
        <f>$CU72*Table1[[#This Row],[Male%(55-59)]]</f>
        <v>0</v>
      </c>
      <c r="EF72" s="1">
        <f>$AF72*Table1[[#This Row],[Total% (45-49)]]</f>
        <v>0</v>
      </c>
      <c r="EG72" s="1">
        <f>$CT72*Table1[[#This Row],[Female% (45-49)]]</f>
        <v>0</v>
      </c>
      <c r="EH72" s="1">
        <f>$CU72*Table1[[#This Row],[Male% (45-49)]]</f>
        <v>0</v>
      </c>
      <c r="EI72" s="1">
        <f>$AF72*Table1[[#This Row],[Total% (50-54)]]</f>
        <v>0</v>
      </c>
      <c r="EJ72" s="1">
        <f>$CT72*Table1[[#This Row],[Female%(50-54)]]</f>
        <v>0</v>
      </c>
      <c r="EK72" s="1">
        <f>$CU72*Table1[[#This Row],[Male% (50-54)]]</f>
        <v>0</v>
      </c>
      <c r="EL72" s="1">
        <f>$AF72*Table1[[#This Row],[Total% (55-59)]]</f>
        <v>0</v>
      </c>
      <c r="EM72" s="1">
        <f>$CT72*Table1[[#This Row],[Female% (55-59)]]</f>
        <v>0</v>
      </c>
      <c r="EN72" s="1">
        <f>$CU72*Table1[[#This Row],[Male% (55-59)]]</f>
        <v>0</v>
      </c>
      <c r="EO72" s="1">
        <f>$AF72*Table1[[#This Row],[Total% (60-64)]]</f>
        <v>0</v>
      </c>
      <c r="EP72" s="1">
        <f>$CT72*Table1[[#This Row],[Female%(60-64)]]</f>
        <v>0</v>
      </c>
      <c r="EQ72" s="1">
        <f>$CU72*Table1[[#This Row],[Male%(60-64)]]</f>
        <v>0</v>
      </c>
      <c r="ER72" s="1">
        <f>$AF72*Table1[[#This Row],[Total% (&gt;=65)]]</f>
        <v>0</v>
      </c>
      <c r="ES72" s="1">
        <f>$CT72*Table1[[#This Row],[Female%(&gt;=65)]]</f>
        <v>0</v>
      </c>
      <c r="ET72" s="1">
        <f>$CU72*Table1[[#This Row],[Male% (&gt;=65)]]</f>
        <v>0</v>
      </c>
    </row>
    <row r="73" spans="1:150" hidden="1" x14ac:dyDescent="0.35">
      <c r="A73" t="s">
        <v>104</v>
      </c>
      <c r="B73" t="s">
        <v>105</v>
      </c>
      <c r="C73" t="s">
        <v>106</v>
      </c>
      <c r="D73" t="s">
        <v>107</v>
      </c>
      <c r="E73" t="s">
        <v>427</v>
      </c>
      <c r="F73" t="s">
        <v>428</v>
      </c>
      <c r="H73">
        <v>4</v>
      </c>
      <c r="I73" s="1">
        <v>0</v>
      </c>
      <c r="J73" s="1">
        <v>0</v>
      </c>
      <c r="K73" s="1">
        <v>7178</v>
      </c>
      <c r="L73" s="1">
        <v>7695</v>
      </c>
      <c r="M73" s="1">
        <v>0</v>
      </c>
      <c r="N73" s="1">
        <v>14873</v>
      </c>
      <c r="O73" s="3">
        <v>1</v>
      </c>
      <c r="P73" s="3">
        <v>0</v>
      </c>
      <c r="Q73" s="3">
        <v>0</v>
      </c>
      <c r="R73" s="3">
        <v>0</v>
      </c>
      <c r="S73" s="3">
        <v>0</v>
      </c>
      <c r="T73" s="1">
        <v>14873</v>
      </c>
      <c r="U73" s="1">
        <v>0</v>
      </c>
      <c r="V73" s="10">
        <f>Table1[[#This Row],[Pop NW+RATAA]]*Table1[[#This Row],[Perc_pop_Northern_Aleppo]]</f>
        <v>0</v>
      </c>
      <c r="W73" s="10">
        <f>Table1[[#This Row],[Pop NW+RATAA]]*Table1[[#This Row],[Perc_pop_Afrin District]]</f>
        <v>0</v>
      </c>
      <c r="X73" s="10">
        <f>Table1[[#This Row],[Pop NW+RATAA]]*Table1[[#This Row],[Perc_pop_Euphrates Shiled]]</f>
        <v>0</v>
      </c>
      <c r="Y73" s="10">
        <f>Table1[[#This Row],[Pop NW+RATAA]]*Table1[[#This Row],[Perc_Pop_Idleb_NSAG]]</f>
        <v>0</v>
      </c>
      <c r="Z73" s="3">
        <v>0</v>
      </c>
      <c r="AA73" s="3">
        <v>0</v>
      </c>
      <c r="AB73" s="3">
        <v>0</v>
      </c>
      <c r="AC73" s="3">
        <v>0</v>
      </c>
      <c r="AD73" s="1">
        <v>14873</v>
      </c>
      <c r="AE73" s="1">
        <v>0</v>
      </c>
      <c r="AF73" s="1">
        <v>0</v>
      </c>
      <c r="AG73" s="1">
        <v>0</v>
      </c>
      <c r="AH73" s="1">
        <v>0</v>
      </c>
      <c r="AI73" s="1">
        <f>Table1[[#This Row],[NWS_pin]]*Table1[[#This Row],[Perc_pop_Northern_Aleppo]]</f>
        <v>0</v>
      </c>
      <c r="AJ73" s="1">
        <f>Table1[[#This Row],[NWS_pin]]*Table1[[#This Row],[Perc_pop_Afrin District]]</f>
        <v>0</v>
      </c>
      <c r="AK73" s="1">
        <f>Table1[[#This Row],[NWS_pin]]*Table1[[#This Row],[Perc_pop_Euphrates Shiled]]</f>
        <v>0</v>
      </c>
      <c r="AL73" s="1">
        <f>Table1[[#This Row],[NWS_pin]]*Table1[[#This Row],[Perc_Pop_Idleb_NSAG]]</f>
        <v>0</v>
      </c>
      <c r="AM73" s="4">
        <v>0.41046946392929501</v>
      </c>
      <c r="AN73" s="4">
        <v>0.58953053607070505</v>
      </c>
      <c r="AO73" s="4">
        <v>0.50863856254319295</v>
      </c>
      <c r="AP73" s="4">
        <v>0.41390634594572201</v>
      </c>
      <c r="AQ73" s="4">
        <v>0.56502623264683505</v>
      </c>
      <c r="AR73" s="4">
        <v>9.0288948889040606E-3</v>
      </c>
      <c r="AS73" s="4">
        <v>0</v>
      </c>
      <c r="AT73" s="4">
        <v>1.2038526518538701E-2</v>
      </c>
      <c r="AU73" s="4">
        <v>1.1194921474993199E-2</v>
      </c>
      <c r="AV73" s="4">
        <v>0</v>
      </c>
      <c r="AW73" s="4">
        <v>1.8989553195342099E-2</v>
      </c>
      <c r="AX73" s="4">
        <v>2.20106289464541E-2</v>
      </c>
      <c r="AY73" s="4">
        <v>6.8183643722408297E-3</v>
      </c>
      <c r="AZ73" s="4">
        <v>3.2588470659646498E-2</v>
      </c>
      <c r="BA73" s="4">
        <v>6.4857193333093505E-2</v>
      </c>
      <c r="BB73" s="4">
        <v>3.3167967502095101E-2</v>
      </c>
      <c r="BC73" s="4">
        <v>8.69212913624859E-2</v>
      </c>
      <c r="BD73" s="4">
        <v>9.6545887740411798E-2</v>
      </c>
      <c r="BE73" s="4">
        <v>7.9972663748671804E-2</v>
      </c>
      <c r="BF73" s="4">
        <v>0.108085243127855</v>
      </c>
      <c r="BG73" s="4">
        <v>0.1117843624431</v>
      </c>
      <c r="BH73" s="4">
        <v>8.0896518107780896E-2</v>
      </c>
      <c r="BI73" s="4">
        <v>0.13329048660547901</v>
      </c>
      <c r="BJ73" s="4">
        <v>8.0132719531454302E-2</v>
      </c>
      <c r="BK73" s="4">
        <v>6.2550251423915695E-2</v>
      </c>
      <c r="BL73" s="4">
        <v>9.2374776247901802E-2</v>
      </c>
      <c r="BM73" s="4">
        <v>3.3584764424979603E-2</v>
      </c>
      <c r="BN73" s="4">
        <v>2.7273457488963301E-2</v>
      </c>
      <c r="BO73" s="4">
        <v>3.7979106390684199E-2</v>
      </c>
      <c r="BP73" s="4">
        <v>4.1222527524160002E-2</v>
      </c>
      <c r="BQ73" s="4">
        <v>3.9986331874335902E-2</v>
      </c>
      <c r="BR73" s="4">
        <v>4.2083247257317602E-2</v>
      </c>
      <c r="BS73" s="4">
        <v>9.2193249861862406E-2</v>
      </c>
      <c r="BT73" s="4">
        <v>0.17779970910754</v>
      </c>
      <c r="BU73" s="4">
        <v>3.2588470659646498E-2</v>
      </c>
      <c r="BV73" s="4">
        <v>0.134969684895824</v>
      </c>
      <c r="BW73" s="4">
        <v>0.154974671843321</v>
      </c>
      <c r="BX73" s="4">
        <v>0.12104091315995701</v>
      </c>
      <c r="BY73" s="4">
        <v>0.13977166613058301</v>
      </c>
      <c r="BZ73" s="4">
        <v>0.14934127954482801</v>
      </c>
      <c r="CA73" s="4">
        <v>0.13310867948643701</v>
      </c>
      <c r="CB73" s="4">
        <v>8.1270361542051001E-2</v>
      </c>
      <c r="CC73" s="4">
        <v>0.10135161122450299</v>
      </c>
      <c r="CD73" s="4">
        <v>6.72884907349416E-2</v>
      </c>
      <c r="CE73" s="4">
        <v>5.72564817295853E-2</v>
      </c>
      <c r="CF73" s="4">
        <v>5.1775351900599398E-2</v>
      </c>
      <c r="CG73" s="4">
        <v>6.1072800452659698E-2</v>
      </c>
      <c r="CH73" s="4">
        <v>8.0169771027126507E-3</v>
      </c>
      <c r="CI73" s="4">
        <v>6.8183643722408297E-3</v>
      </c>
      <c r="CJ73" s="4">
        <v>8.8515291654688907E-3</v>
      </c>
      <c r="CK73" s="4">
        <v>1.1194921474993199E-2</v>
      </c>
      <c r="CL73" s="4">
        <v>6.8183643722408297E-3</v>
      </c>
      <c r="CM73" s="4">
        <v>1.42421648965066E-2</v>
      </c>
      <c r="CN73" s="4">
        <v>1.1194921474993199E-2</v>
      </c>
      <c r="CO73" s="4">
        <v>1.3636728744481699E-2</v>
      </c>
      <c r="CP73" s="4">
        <v>9.4947765976710497E-3</v>
      </c>
      <c r="CQ73" s="4">
        <v>2.7987303687482998E-3</v>
      </c>
      <c r="CR73" s="4">
        <v>6.8183643722408297E-3</v>
      </c>
      <c r="CS73" s="4">
        <v>0</v>
      </c>
      <c r="CT73" s="1">
        <f>Table1[[#This Row],[Female %]]*Table1[[#This Row],[NWS_pin]]</f>
        <v>0</v>
      </c>
      <c r="CU73" s="1">
        <f>Table1[[#This Row],[Male %]]*Table1[[#This Row],[NWS_pin]]</f>
        <v>0</v>
      </c>
      <c r="CV73" s="1">
        <f>Table1[[#This Row],[Female% (0-2)22]]+Table1[[#This Row],[Male%(0-2)3]]</f>
        <v>0</v>
      </c>
      <c r="CW73" s="1">
        <f>$CT73*Table1[[#This Row],[Female% (0-2)]]</f>
        <v>0</v>
      </c>
      <c r="CX73" s="1">
        <f>$CU73*Table1[[#This Row],[Male%(0-2)]]</f>
        <v>0</v>
      </c>
      <c r="CY73" s="1">
        <f>Table1[[#This Row],[Female%  (3-5)5]]+Table1[[#This Row],[Male% (3-5)6]]</f>
        <v>0</v>
      </c>
      <c r="CZ73" s="1">
        <f>$AF73*Table1[[#This Row],[Female%  (3-5)]]</f>
        <v>0</v>
      </c>
      <c r="DA73" s="1">
        <f>$CU73*Table1[[#This Row],[Male% (3-5)]]</f>
        <v>0</v>
      </c>
      <c r="DB73" s="1">
        <f>Table1[[#This Row],[Female% (6-8)8]]+Table1[[#This Row],[Male%(6-8)9]]</f>
        <v>0</v>
      </c>
      <c r="DC73" s="1">
        <f>$CT73*Table1[[#This Row],[Female% (6-8)]]</f>
        <v>0</v>
      </c>
      <c r="DD73" s="1">
        <f>$CU73*Table1[[#This Row],[Male%(6-8)]]</f>
        <v>0</v>
      </c>
      <c r="DE73" s="1">
        <f>Table1[[#This Row],[Female% (9 - 11)11]]+Table1[[#This Row],[Male% (9 - 11)12]]</f>
        <v>0</v>
      </c>
      <c r="DF73" s="1">
        <f>$CT73*Table1[[#This Row],[Female% (9 - 11)]]</f>
        <v>0</v>
      </c>
      <c r="DG73" s="1">
        <f>$CU73*Table1[[#This Row],[Male% (9 - 11)]]</f>
        <v>0</v>
      </c>
      <c r="DH73" s="1">
        <f>Table1[[#This Row],[Female% (12-14)14]]+Table1[[#This Row],[Male%(12-14)15]]</f>
        <v>0</v>
      </c>
      <c r="DI73" s="1">
        <f>$CT73*Table1[[#This Row],[Female% (12-14)]]</f>
        <v>0</v>
      </c>
      <c r="DJ73" s="1">
        <f>$CU73*Table1[[#This Row],[Male%(12-14)]]</f>
        <v>0</v>
      </c>
      <c r="DK73" s="1">
        <f>Table1[[#This Row],[Female% (15-17)17]]+Table1[[#This Row],[Male%(15-17)18]]</f>
        <v>0</v>
      </c>
      <c r="DL73" s="1">
        <f>$CT73*Table1[[#This Row],[Female% (15-17)]]</f>
        <v>0</v>
      </c>
      <c r="DM73" s="1">
        <f>$CU73*Table1[[#This Row],[Male%(15-17)]]</f>
        <v>0</v>
      </c>
      <c r="DN73" s="1">
        <f>$AF73*Table1[[#This Row],[Total% (18-19)]]</f>
        <v>0</v>
      </c>
      <c r="DO73" s="1">
        <f>$CT73*Table1[[#This Row],[Female% (18-19)]]</f>
        <v>0</v>
      </c>
      <c r="DP73" s="1">
        <f>$CU73*Table1[[#This Row],[Male%(18-19)]]</f>
        <v>0</v>
      </c>
      <c r="DQ73" s="1">
        <f>$AF73*Table1[[#This Row],[Total% (20-24)]]</f>
        <v>0</v>
      </c>
      <c r="DR73" s="1">
        <f>$CT73*Table1[[#This Row],[Female% (20-24)]]</f>
        <v>0</v>
      </c>
      <c r="DS73" s="1">
        <f>$CU73*Table1[[#This Row],[Male% (20-24)]]</f>
        <v>0</v>
      </c>
      <c r="DT73" s="1">
        <f>$AF73*Table1[[#This Row],[Total% (25-29)]]</f>
        <v>0</v>
      </c>
      <c r="DU73" s="1">
        <f>$CT73*Table1[[#This Row],[Female% (25-29)]]</f>
        <v>0</v>
      </c>
      <c r="DV73" s="1">
        <f>$CU73*Table1[[#This Row],[Male% (25-29)]]</f>
        <v>0</v>
      </c>
      <c r="DW73" s="1">
        <f>$AF73*Table1[[#This Row],[Total%   (30-34)]]</f>
        <v>0</v>
      </c>
      <c r="DX73" s="1">
        <f>$CT73*Table1[[#This Row],[Female%   (30-34)]]</f>
        <v>0</v>
      </c>
      <c r="DY73" s="1">
        <f>$CU73*Table1[[#This Row],[Male%  (30-34)]]</f>
        <v>0</v>
      </c>
      <c r="DZ73" s="1">
        <f>$AF73*Table1[[#This Row],[Total% (35-39)]]</f>
        <v>0</v>
      </c>
      <c r="EA73" s="1">
        <f>$CT73*Table1[[#This Row],[Female% (35-39)]]</f>
        <v>0</v>
      </c>
      <c r="EB73" s="1">
        <f>$CU73*Table1[[#This Row],[Male% (35-39)]]</f>
        <v>0</v>
      </c>
      <c r="EC73" s="1">
        <f>$AF73*Table1[[#This Row],[Total% (40-44)]]</f>
        <v>0</v>
      </c>
      <c r="ED73" s="1">
        <f>$CT73*Table1[[#This Row],[Female% (40-44)]]</f>
        <v>0</v>
      </c>
      <c r="EE73" s="1">
        <f>$CU73*Table1[[#This Row],[Male%(55-59)]]</f>
        <v>0</v>
      </c>
      <c r="EF73" s="1">
        <f>$AF73*Table1[[#This Row],[Total% (45-49)]]</f>
        <v>0</v>
      </c>
      <c r="EG73" s="1">
        <f>$CT73*Table1[[#This Row],[Female% (45-49)]]</f>
        <v>0</v>
      </c>
      <c r="EH73" s="1">
        <f>$CU73*Table1[[#This Row],[Male% (45-49)]]</f>
        <v>0</v>
      </c>
      <c r="EI73" s="1">
        <f>$AF73*Table1[[#This Row],[Total% (50-54)]]</f>
        <v>0</v>
      </c>
      <c r="EJ73" s="1">
        <f>$CT73*Table1[[#This Row],[Female%(50-54)]]</f>
        <v>0</v>
      </c>
      <c r="EK73" s="1">
        <f>$CU73*Table1[[#This Row],[Male% (50-54)]]</f>
        <v>0</v>
      </c>
      <c r="EL73" s="1">
        <f>$AF73*Table1[[#This Row],[Total% (55-59)]]</f>
        <v>0</v>
      </c>
      <c r="EM73" s="1">
        <f>$CT73*Table1[[#This Row],[Female% (55-59)]]</f>
        <v>0</v>
      </c>
      <c r="EN73" s="1">
        <f>$CU73*Table1[[#This Row],[Male% (55-59)]]</f>
        <v>0</v>
      </c>
      <c r="EO73" s="1">
        <f>$AF73*Table1[[#This Row],[Total% (60-64)]]</f>
        <v>0</v>
      </c>
      <c r="EP73" s="1">
        <f>$CT73*Table1[[#This Row],[Female%(60-64)]]</f>
        <v>0</v>
      </c>
      <c r="EQ73" s="1">
        <f>$CU73*Table1[[#This Row],[Male%(60-64)]]</f>
        <v>0</v>
      </c>
      <c r="ER73" s="1">
        <f>$AF73*Table1[[#This Row],[Total% (&gt;=65)]]</f>
        <v>0</v>
      </c>
      <c r="ES73" s="1">
        <f>$CT73*Table1[[#This Row],[Female%(&gt;=65)]]</f>
        <v>0</v>
      </c>
      <c r="ET73" s="1">
        <f>$CU73*Table1[[#This Row],[Male% (&gt;=65)]]</f>
        <v>0</v>
      </c>
    </row>
    <row r="74" spans="1:150" hidden="1" x14ac:dyDescent="0.35">
      <c r="A74" t="s">
        <v>104</v>
      </c>
      <c r="B74" t="s">
        <v>105</v>
      </c>
      <c r="C74" t="s">
        <v>438</v>
      </c>
      <c r="D74" t="s">
        <v>439</v>
      </c>
      <c r="E74" t="s">
        <v>438</v>
      </c>
      <c r="F74" t="s">
        <v>440</v>
      </c>
      <c r="H74">
        <v>3</v>
      </c>
      <c r="I74" s="1">
        <v>0</v>
      </c>
      <c r="J74" s="1">
        <v>10459</v>
      </c>
      <c r="K74" s="1">
        <v>267243</v>
      </c>
      <c r="L74" s="1">
        <v>17107</v>
      </c>
      <c r="M74" s="1">
        <v>0</v>
      </c>
      <c r="N74" s="1">
        <v>284350</v>
      </c>
      <c r="O74" s="3">
        <v>1</v>
      </c>
      <c r="P74" s="3">
        <v>0</v>
      </c>
      <c r="Q74" s="3">
        <v>0</v>
      </c>
      <c r="R74" s="3">
        <v>0</v>
      </c>
      <c r="S74" s="3">
        <v>0</v>
      </c>
      <c r="T74" s="1">
        <v>294809</v>
      </c>
      <c r="U74" s="1">
        <v>0</v>
      </c>
      <c r="V74" s="10">
        <f>Table1[[#This Row],[Pop NW+RATAA]]*Table1[[#This Row],[Perc_pop_Northern_Aleppo]]</f>
        <v>0</v>
      </c>
      <c r="W74" s="10">
        <f>Table1[[#This Row],[Pop NW+RATAA]]*Table1[[#This Row],[Perc_pop_Afrin District]]</f>
        <v>0</v>
      </c>
      <c r="X74" s="10">
        <f>Table1[[#This Row],[Pop NW+RATAA]]*Table1[[#This Row],[Perc_pop_Euphrates Shiled]]</f>
        <v>0</v>
      </c>
      <c r="Y74" s="10">
        <f>Table1[[#This Row],[Pop NW+RATAA]]*Table1[[#This Row],[Perc_Pop_Idleb_NSAG]]</f>
        <v>0</v>
      </c>
      <c r="Z74" s="3">
        <v>0</v>
      </c>
      <c r="AA74" s="3">
        <v>0</v>
      </c>
      <c r="AB74" s="3">
        <v>0</v>
      </c>
      <c r="AC74" s="3">
        <v>0</v>
      </c>
      <c r="AD74" s="1">
        <v>284350</v>
      </c>
      <c r="AE74" s="1">
        <v>0</v>
      </c>
      <c r="AF74" s="1">
        <v>0</v>
      </c>
      <c r="AG74" s="1">
        <v>0</v>
      </c>
      <c r="AH74" s="1">
        <v>0</v>
      </c>
      <c r="AI74" s="1">
        <f>Table1[[#This Row],[NWS_pin]]*Table1[[#This Row],[Perc_pop_Northern_Aleppo]]</f>
        <v>0</v>
      </c>
      <c r="AJ74" s="1">
        <f>Table1[[#This Row],[NWS_pin]]*Table1[[#This Row],[Perc_pop_Afrin District]]</f>
        <v>0</v>
      </c>
      <c r="AK74" s="1">
        <f>Table1[[#This Row],[NWS_pin]]*Table1[[#This Row],[Perc_pop_Euphrates Shiled]]</f>
        <v>0</v>
      </c>
      <c r="AL74" s="1">
        <f>Table1[[#This Row],[NWS_pin]]*Table1[[#This Row],[Perc_Pop_Idleb_NSAG]]</f>
        <v>0</v>
      </c>
      <c r="AM74" s="4">
        <v>0.50317206009653703</v>
      </c>
      <c r="AN74" s="4">
        <v>0.49682793990346302</v>
      </c>
      <c r="AO74" s="4">
        <v>0.16928808909912199</v>
      </c>
      <c r="AP74" s="4">
        <v>0.43886715545420402</v>
      </c>
      <c r="AQ74" s="4">
        <v>0.53382194387470105</v>
      </c>
      <c r="AR74" s="4">
        <v>0</v>
      </c>
      <c r="AS74" s="4">
        <v>0</v>
      </c>
      <c r="AT74" s="4">
        <v>2.73109006710953E-2</v>
      </c>
      <c r="AU74" s="4">
        <v>4.4887296819935401E-3</v>
      </c>
      <c r="AV74" s="4">
        <v>2.1074444512990198E-3</v>
      </c>
      <c r="AW74" s="4">
        <v>6.9004221392229698E-3</v>
      </c>
      <c r="AX74" s="4">
        <v>2.1413102685215901E-2</v>
      </c>
      <c r="AY74" s="4">
        <v>1.51988709940661E-2</v>
      </c>
      <c r="AZ74" s="4">
        <v>2.77066854546563E-2</v>
      </c>
      <c r="BA74" s="4">
        <v>7.7878988277267899E-2</v>
      </c>
      <c r="BB74" s="4">
        <v>7.8646316843695302E-2</v>
      </c>
      <c r="BC74" s="4">
        <v>7.7101861500510502E-2</v>
      </c>
      <c r="BD74" s="4">
        <v>0.103427133500994</v>
      </c>
      <c r="BE74" s="4">
        <v>0.131116230168806</v>
      </c>
      <c r="BF74" s="4">
        <v>7.5384467834361299E-2</v>
      </c>
      <c r="BG74" s="4">
        <v>7.5602624580192804E-2</v>
      </c>
      <c r="BH74" s="4">
        <v>5.2644327688628603E-2</v>
      </c>
      <c r="BI74" s="4">
        <v>9.8854081705331304E-2</v>
      </c>
      <c r="BJ74" s="4">
        <v>5.7101189315839102E-2</v>
      </c>
      <c r="BK74" s="4">
        <v>5.58365782585592E-2</v>
      </c>
      <c r="BL74" s="4">
        <v>5.8381948507916899E-2</v>
      </c>
      <c r="BM74" s="4">
        <v>2.2837666925258699E-2</v>
      </c>
      <c r="BN74" s="4">
        <v>8.7231407071722495E-4</v>
      </c>
      <c r="BO74" s="4">
        <v>4.5083500862686803E-2</v>
      </c>
      <c r="BP74" s="4">
        <v>7.8362651213672904E-2</v>
      </c>
      <c r="BQ74" s="4">
        <v>0.11780458201326199</v>
      </c>
      <c r="BR74" s="4">
        <v>3.8417076537517698E-2</v>
      </c>
      <c r="BS74" s="4">
        <v>7.5955535564321205E-2</v>
      </c>
      <c r="BT74" s="4">
        <v>9.99625637793468E-2</v>
      </c>
      <c r="BU74" s="4">
        <v>5.1641955603224002E-2</v>
      </c>
      <c r="BV74" s="4">
        <v>9.1579164139216296E-2</v>
      </c>
      <c r="BW74" s="4">
        <v>0.111596412980271</v>
      </c>
      <c r="BX74" s="4">
        <v>7.1306310042533405E-2</v>
      </c>
      <c r="BY74" s="4">
        <v>0.109274435735381</v>
      </c>
      <c r="BZ74" s="4">
        <v>7.8600805931981793E-2</v>
      </c>
      <c r="CA74" s="4">
        <v>0.14033974478747199</v>
      </c>
      <c r="CB74" s="4">
        <v>7.0632596724882396E-2</v>
      </c>
      <c r="CC74" s="4">
        <v>7.17282695314862E-2</v>
      </c>
      <c r="CD74" s="4">
        <v>6.9522932998245607E-2</v>
      </c>
      <c r="CE74" s="4">
        <v>5.9551813544466203E-2</v>
      </c>
      <c r="CF74" s="4">
        <v>4.4781510085808302E-2</v>
      </c>
      <c r="CG74" s="4">
        <v>7.4510722701201695E-2</v>
      </c>
      <c r="CH74" s="4">
        <v>4.2712592989701897E-2</v>
      </c>
      <c r="CI74" s="4">
        <v>5.4511466052854701E-2</v>
      </c>
      <c r="CJ74" s="4">
        <v>3.07630571661777E-2</v>
      </c>
      <c r="CK74" s="4">
        <v>3.4215474214554099E-2</v>
      </c>
      <c r="CL74" s="4">
        <v>1.7045887700958301E-2</v>
      </c>
      <c r="CM74" s="4">
        <v>5.1604303471480199E-2</v>
      </c>
      <c r="CN74" s="4">
        <v>1.6597810616496102E-2</v>
      </c>
      <c r="CO74" s="4">
        <v>0</v>
      </c>
      <c r="CP74" s="4">
        <v>3.3407562826923802E-2</v>
      </c>
      <c r="CQ74" s="4">
        <v>5.8368490290545701E-2</v>
      </c>
      <c r="CR74" s="4">
        <v>6.7546419448260203E-2</v>
      </c>
      <c r="CS74" s="4">
        <v>4.90733658605376E-2</v>
      </c>
      <c r="CT74" s="1">
        <f>Table1[[#This Row],[Female %]]*Table1[[#This Row],[NWS_pin]]</f>
        <v>0</v>
      </c>
      <c r="CU74" s="1">
        <f>Table1[[#This Row],[Male %]]*Table1[[#This Row],[NWS_pin]]</f>
        <v>0</v>
      </c>
      <c r="CV74" s="1">
        <f>Table1[[#This Row],[Female% (0-2)22]]+Table1[[#This Row],[Male%(0-2)3]]</f>
        <v>0</v>
      </c>
      <c r="CW74" s="1">
        <f>$CT74*Table1[[#This Row],[Female% (0-2)]]</f>
        <v>0</v>
      </c>
      <c r="CX74" s="1">
        <f>$CU74*Table1[[#This Row],[Male%(0-2)]]</f>
        <v>0</v>
      </c>
      <c r="CY74" s="1">
        <f>Table1[[#This Row],[Female%  (3-5)5]]+Table1[[#This Row],[Male% (3-5)6]]</f>
        <v>0</v>
      </c>
      <c r="CZ74" s="1">
        <f>$AF74*Table1[[#This Row],[Female%  (3-5)]]</f>
        <v>0</v>
      </c>
      <c r="DA74" s="1">
        <f>$CU74*Table1[[#This Row],[Male% (3-5)]]</f>
        <v>0</v>
      </c>
      <c r="DB74" s="1">
        <f>Table1[[#This Row],[Female% (6-8)8]]+Table1[[#This Row],[Male%(6-8)9]]</f>
        <v>0</v>
      </c>
      <c r="DC74" s="1">
        <f>$CT74*Table1[[#This Row],[Female% (6-8)]]</f>
        <v>0</v>
      </c>
      <c r="DD74" s="1">
        <f>$CU74*Table1[[#This Row],[Male%(6-8)]]</f>
        <v>0</v>
      </c>
      <c r="DE74" s="1">
        <f>Table1[[#This Row],[Female% (9 - 11)11]]+Table1[[#This Row],[Male% (9 - 11)12]]</f>
        <v>0</v>
      </c>
      <c r="DF74" s="1">
        <f>$CT74*Table1[[#This Row],[Female% (9 - 11)]]</f>
        <v>0</v>
      </c>
      <c r="DG74" s="1">
        <f>$CU74*Table1[[#This Row],[Male% (9 - 11)]]</f>
        <v>0</v>
      </c>
      <c r="DH74" s="1">
        <f>Table1[[#This Row],[Female% (12-14)14]]+Table1[[#This Row],[Male%(12-14)15]]</f>
        <v>0</v>
      </c>
      <c r="DI74" s="1">
        <f>$CT74*Table1[[#This Row],[Female% (12-14)]]</f>
        <v>0</v>
      </c>
      <c r="DJ74" s="1">
        <f>$CU74*Table1[[#This Row],[Male%(12-14)]]</f>
        <v>0</v>
      </c>
      <c r="DK74" s="1">
        <f>Table1[[#This Row],[Female% (15-17)17]]+Table1[[#This Row],[Male%(15-17)18]]</f>
        <v>0</v>
      </c>
      <c r="DL74" s="1">
        <f>$CT74*Table1[[#This Row],[Female% (15-17)]]</f>
        <v>0</v>
      </c>
      <c r="DM74" s="1">
        <f>$CU74*Table1[[#This Row],[Male%(15-17)]]</f>
        <v>0</v>
      </c>
      <c r="DN74" s="1">
        <f>$AF74*Table1[[#This Row],[Total% (18-19)]]</f>
        <v>0</v>
      </c>
      <c r="DO74" s="1">
        <f>$CT74*Table1[[#This Row],[Female% (18-19)]]</f>
        <v>0</v>
      </c>
      <c r="DP74" s="1">
        <f>$CU74*Table1[[#This Row],[Male%(18-19)]]</f>
        <v>0</v>
      </c>
      <c r="DQ74" s="1">
        <f>$AF74*Table1[[#This Row],[Total% (20-24)]]</f>
        <v>0</v>
      </c>
      <c r="DR74" s="1">
        <f>$CT74*Table1[[#This Row],[Female% (20-24)]]</f>
        <v>0</v>
      </c>
      <c r="DS74" s="1">
        <f>$CU74*Table1[[#This Row],[Male% (20-24)]]</f>
        <v>0</v>
      </c>
      <c r="DT74" s="1">
        <f>$AF74*Table1[[#This Row],[Total% (25-29)]]</f>
        <v>0</v>
      </c>
      <c r="DU74" s="1">
        <f>$CT74*Table1[[#This Row],[Female% (25-29)]]</f>
        <v>0</v>
      </c>
      <c r="DV74" s="1">
        <f>$CU74*Table1[[#This Row],[Male% (25-29)]]</f>
        <v>0</v>
      </c>
      <c r="DW74" s="1">
        <f>$AF74*Table1[[#This Row],[Total%   (30-34)]]</f>
        <v>0</v>
      </c>
      <c r="DX74" s="1">
        <f>$CT74*Table1[[#This Row],[Female%   (30-34)]]</f>
        <v>0</v>
      </c>
      <c r="DY74" s="1">
        <f>$CU74*Table1[[#This Row],[Male%  (30-34)]]</f>
        <v>0</v>
      </c>
      <c r="DZ74" s="1">
        <f>$AF74*Table1[[#This Row],[Total% (35-39)]]</f>
        <v>0</v>
      </c>
      <c r="EA74" s="1">
        <f>$CT74*Table1[[#This Row],[Female% (35-39)]]</f>
        <v>0</v>
      </c>
      <c r="EB74" s="1">
        <f>$CU74*Table1[[#This Row],[Male% (35-39)]]</f>
        <v>0</v>
      </c>
      <c r="EC74" s="1">
        <f>$AF74*Table1[[#This Row],[Total% (40-44)]]</f>
        <v>0</v>
      </c>
      <c r="ED74" s="1">
        <f>$CT74*Table1[[#This Row],[Female% (40-44)]]</f>
        <v>0</v>
      </c>
      <c r="EE74" s="1">
        <f>$CU74*Table1[[#This Row],[Male%(55-59)]]</f>
        <v>0</v>
      </c>
      <c r="EF74" s="1">
        <f>$AF74*Table1[[#This Row],[Total% (45-49)]]</f>
        <v>0</v>
      </c>
      <c r="EG74" s="1">
        <f>$CT74*Table1[[#This Row],[Female% (45-49)]]</f>
        <v>0</v>
      </c>
      <c r="EH74" s="1">
        <f>$CU74*Table1[[#This Row],[Male% (45-49)]]</f>
        <v>0</v>
      </c>
      <c r="EI74" s="1">
        <f>$AF74*Table1[[#This Row],[Total% (50-54)]]</f>
        <v>0</v>
      </c>
      <c r="EJ74" s="1">
        <f>$CT74*Table1[[#This Row],[Female%(50-54)]]</f>
        <v>0</v>
      </c>
      <c r="EK74" s="1">
        <f>$CU74*Table1[[#This Row],[Male% (50-54)]]</f>
        <v>0</v>
      </c>
      <c r="EL74" s="1">
        <f>$AF74*Table1[[#This Row],[Total% (55-59)]]</f>
        <v>0</v>
      </c>
      <c r="EM74" s="1">
        <f>$CT74*Table1[[#This Row],[Female% (55-59)]]</f>
        <v>0</v>
      </c>
      <c r="EN74" s="1">
        <f>$CU74*Table1[[#This Row],[Male% (55-59)]]</f>
        <v>0</v>
      </c>
      <c r="EO74" s="1">
        <f>$AF74*Table1[[#This Row],[Total% (60-64)]]</f>
        <v>0</v>
      </c>
      <c r="EP74" s="1">
        <f>$CT74*Table1[[#This Row],[Female%(60-64)]]</f>
        <v>0</v>
      </c>
      <c r="EQ74" s="1">
        <f>$CU74*Table1[[#This Row],[Male%(60-64)]]</f>
        <v>0</v>
      </c>
      <c r="ER74" s="1">
        <f>$AF74*Table1[[#This Row],[Total% (&gt;=65)]]</f>
        <v>0</v>
      </c>
      <c r="ES74" s="1">
        <f>$CT74*Table1[[#This Row],[Female%(&gt;=65)]]</f>
        <v>0</v>
      </c>
      <c r="ET74" s="1">
        <f>$CU74*Table1[[#This Row],[Male% (&gt;=65)]]</f>
        <v>0</v>
      </c>
    </row>
    <row r="75" spans="1:150" hidden="1" x14ac:dyDescent="0.35">
      <c r="A75" t="s">
        <v>104</v>
      </c>
      <c r="B75" t="s">
        <v>105</v>
      </c>
      <c r="C75" t="s">
        <v>438</v>
      </c>
      <c r="D75" t="s">
        <v>439</v>
      </c>
      <c r="E75" t="s">
        <v>551</v>
      </c>
      <c r="F75" t="s">
        <v>552</v>
      </c>
      <c r="H75">
        <v>3</v>
      </c>
      <c r="I75" s="1">
        <v>0</v>
      </c>
      <c r="J75" s="1">
        <v>150</v>
      </c>
      <c r="K75" s="1">
        <v>6991</v>
      </c>
      <c r="L75" s="1">
        <v>298</v>
      </c>
      <c r="M75" s="1">
        <v>0</v>
      </c>
      <c r="N75" s="1">
        <v>7289</v>
      </c>
      <c r="O75" s="3">
        <v>1</v>
      </c>
      <c r="P75" s="3">
        <v>0</v>
      </c>
      <c r="Q75" s="3">
        <v>0</v>
      </c>
      <c r="R75" s="3">
        <v>0</v>
      </c>
      <c r="S75" s="3">
        <v>0</v>
      </c>
      <c r="T75" s="1">
        <v>7439</v>
      </c>
      <c r="U75" s="1">
        <v>0</v>
      </c>
      <c r="V75" s="10">
        <f>Table1[[#This Row],[Pop NW+RATAA]]*Table1[[#This Row],[Perc_pop_Northern_Aleppo]]</f>
        <v>0</v>
      </c>
      <c r="W75" s="10">
        <f>Table1[[#This Row],[Pop NW+RATAA]]*Table1[[#This Row],[Perc_pop_Afrin District]]</f>
        <v>0</v>
      </c>
      <c r="X75" s="10">
        <f>Table1[[#This Row],[Pop NW+RATAA]]*Table1[[#This Row],[Perc_pop_Euphrates Shiled]]</f>
        <v>0</v>
      </c>
      <c r="Y75" s="10">
        <f>Table1[[#This Row],[Pop NW+RATAA]]*Table1[[#This Row],[Perc_Pop_Idleb_NSAG]]</f>
        <v>0</v>
      </c>
      <c r="Z75" s="3">
        <v>0</v>
      </c>
      <c r="AA75" s="3">
        <v>0</v>
      </c>
      <c r="AB75" s="3">
        <v>0</v>
      </c>
      <c r="AC75" s="3">
        <v>0</v>
      </c>
      <c r="AD75" s="1">
        <v>7289</v>
      </c>
      <c r="AE75" s="1">
        <v>0</v>
      </c>
      <c r="AF75" s="1">
        <v>0</v>
      </c>
      <c r="AG75" s="1">
        <v>0</v>
      </c>
      <c r="AH75" s="1">
        <v>0</v>
      </c>
      <c r="AI75" s="1">
        <f>Table1[[#This Row],[NWS_pin]]*Table1[[#This Row],[Perc_pop_Northern_Aleppo]]</f>
        <v>0</v>
      </c>
      <c r="AJ75" s="1">
        <f>Table1[[#This Row],[NWS_pin]]*Table1[[#This Row],[Perc_pop_Afrin District]]</f>
        <v>0</v>
      </c>
      <c r="AK75" s="1">
        <f>Table1[[#This Row],[NWS_pin]]*Table1[[#This Row],[Perc_pop_Euphrates Shiled]]</f>
        <v>0</v>
      </c>
      <c r="AL75" s="1">
        <f>Table1[[#This Row],[NWS_pin]]*Table1[[#This Row],[Perc_Pop_Idleb_NSAG]]</f>
        <v>0</v>
      </c>
      <c r="AM75" s="4">
        <v>0.41659913313964703</v>
      </c>
      <c r="AN75" s="4">
        <v>0.58340086686035297</v>
      </c>
      <c r="AO75" s="4">
        <v>0.15760275599904999</v>
      </c>
      <c r="AP75" s="4">
        <v>0.41340979339948603</v>
      </c>
      <c r="AQ75" s="4">
        <v>0.57364175415372398</v>
      </c>
      <c r="AR75" s="4">
        <v>2.3978615642202502E-3</v>
      </c>
      <c r="AS75" s="4">
        <v>0</v>
      </c>
      <c r="AT75" s="4">
        <v>1.05505908825691E-2</v>
      </c>
      <c r="AU75" s="4">
        <v>1.2335505211562301E-2</v>
      </c>
      <c r="AV75" s="4">
        <v>2.2052595531527702E-2</v>
      </c>
      <c r="AW75" s="4">
        <v>5.3966546991816499E-3</v>
      </c>
      <c r="AX75" s="4">
        <v>4.8676140269836903E-2</v>
      </c>
      <c r="AY75" s="4">
        <v>7.3242661630550598E-2</v>
      </c>
      <c r="AZ75" s="4">
        <v>3.1133500063956501E-2</v>
      </c>
      <c r="BA75" s="4">
        <v>8.5236934626195193E-2</v>
      </c>
      <c r="BB75" s="4">
        <v>5.0395743077029098E-2</v>
      </c>
      <c r="BC75" s="4">
        <v>0.110116586031323</v>
      </c>
      <c r="BD75" s="4">
        <v>4.7404652789877599E-2</v>
      </c>
      <c r="BE75" s="4">
        <v>4.3804077795024099E-2</v>
      </c>
      <c r="BF75" s="4">
        <v>4.9975777563367602E-2</v>
      </c>
      <c r="BG75" s="4">
        <v>0.11063409929859699</v>
      </c>
      <c r="BH75" s="4">
        <v>6.3164485655579902E-2</v>
      </c>
      <c r="BI75" s="4">
        <v>0.144531546178614</v>
      </c>
      <c r="BJ75" s="4">
        <v>9.1375563398449197E-2</v>
      </c>
      <c r="BK75" s="4">
        <v>3.9026792191318403E-2</v>
      </c>
      <c r="BL75" s="4">
        <v>0.128757154590079</v>
      </c>
      <c r="BM75" s="4">
        <v>3.2391780899627597E-2</v>
      </c>
      <c r="BN75" s="4">
        <v>2.2303455710412499E-2</v>
      </c>
      <c r="BO75" s="4">
        <v>3.9595725506833497E-2</v>
      </c>
      <c r="BP75" s="4">
        <v>4.1048228392985699E-2</v>
      </c>
      <c r="BQ75" s="4">
        <v>3.7724669808835598E-2</v>
      </c>
      <c r="BR75" s="4">
        <v>4.34215392736279E-2</v>
      </c>
      <c r="BS75" s="4">
        <v>7.0085112504102598E-2</v>
      </c>
      <c r="BT75" s="4">
        <v>0.14565574202333501</v>
      </c>
      <c r="BU75" s="4">
        <v>1.61210878739067E-2</v>
      </c>
      <c r="BV75" s="4">
        <v>0.14657763721799699</v>
      </c>
      <c r="BW75" s="4">
        <v>0.21839060429339699</v>
      </c>
      <c r="BX75" s="4">
        <v>9.5296911509101204E-2</v>
      </c>
      <c r="BY75" s="4">
        <v>0.143634694944305</v>
      </c>
      <c r="BZ75" s="4">
        <v>0.12992328298568201</v>
      </c>
      <c r="CA75" s="4">
        <v>0.15342583969666701</v>
      </c>
      <c r="CB75" s="4">
        <v>7.9315594977126397E-2</v>
      </c>
      <c r="CC75" s="4">
        <v>9.9306183156299299E-2</v>
      </c>
      <c r="CD75" s="4">
        <v>6.5040570410890106E-2</v>
      </c>
      <c r="CE75" s="4">
        <v>4.8986119158856402E-2</v>
      </c>
      <c r="CF75" s="4">
        <v>2.00424719656658E-2</v>
      </c>
      <c r="CG75" s="4">
        <v>6.9654409206956897E-2</v>
      </c>
      <c r="CH75" s="4">
        <v>2.24348065096917E-2</v>
      </c>
      <c r="CI75" s="4">
        <v>2.7682157316485E-2</v>
      </c>
      <c r="CJ75" s="4">
        <v>1.8687740090071601E-2</v>
      </c>
      <c r="CK75" s="4">
        <v>1.36655780262111E-2</v>
      </c>
      <c r="CL75" s="4">
        <v>0</v>
      </c>
      <c r="CM75" s="4">
        <v>2.3423993350839899E-2</v>
      </c>
      <c r="CN75" s="4">
        <v>3.1625950703226598E-3</v>
      </c>
      <c r="CO75" s="4">
        <v>0</v>
      </c>
      <c r="CP75" s="4">
        <v>5.4209639545833603E-3</v>
      </c>
      <c r="CQ75" s="4">
        <v>3.03495670425583E-3</v>
      </c>
      <c r="CR75" s="4">
        <v>7.2850768588577303E-3</v>
      </c>
      <c r="CS75" s="4">
        <v>0</v>
      </c>
      <c r="CT75" s="1">
        <f>Table1[[#This Row],[Female %]]*Table1[[#This Row],[NWS_pin]]</f>
        <v>0</v>
      </c>
      <c r="CU75" s="1">
        <f>Table1[[#This Row],[Male %]]*Table1[[#This Row],[NWS_pin]]</f>
        <v>0</v>
      </c>
      <c r="CV75" s="1">
        <f>Table1[[#This Row],[Female% (0-2)22]]+Table1[[#This Row],[Male%(0-2)3]]</f>
        <v>0</v>
      </c>
      <c r="CW75" s="1">
        <f>$CT75*Table1[[#This Row],[Female% (0-2)]]</f>
        <v>0</v>
      </c>
      <c r="CX75" s="1">
        <f>$CU75*Table1[[#This Row],[Male%(0-2)]]</f>
        <v>0</v>
      </c>
      <c r="CY75" s="1">
        <f>Table1[[#This Row],[Female%  (3-5)5]]+Table1[[#This Row],[Male% (3-5)6]]</f>
        <v>0</v>
      </c>
      <c r="CZ75" s="1">
        <f>$AF75*Table1[[#This Row],[Female%  (3-5)]]</f>
        <v>0</v>
      </c>
      <c r="DA75" s="1">
        <f>$CU75*Table1[[#This Row],[Male% (3-5)]]</f>
        <v>0</v>
      </c>
      <c r="DB75" s="1">
        <f>Table1[[#This Row],[Female% (6-8)8]]+Table1[[#This Row],[Male%(6-8)9]]</f>
        <v>0</v>
      </c>
      <c r="DC75" s="1">
        <f>$CT75*Table1[[#This Row],[Female% (6-8)]]</f>
        <v>0</v>
      </c>
      <c r="DD75" s="1">
        <f>$CU75*Table1[[#This Row],[Male%(6-8)]]</f>
        <v>0</v>
      </c>
      <c r="DE75" s="1">
        <f>Table1[[#This Row],[Female% (9 - 11)11]]+Table1[[#This Row],[Male% (9 - 11)12]]</f>
        <v>0</v>
      </c>
      <c r="DF75" s="1">
        <f>$CT75*Table1[[#This Row],[Female% (9 - 11)]]</f>
        <v>0</v>
      </c>
      <c r="DG75" s="1">
        <f>$CU75*Table1[[#This Row],[Male% (9 - 11)]]</f>
        <v>0</v>
      </c>
      <c r="DH75" s="1">
        <f>Table1[[#This Row],[Female% (12-14)14]]+Table1[[#This Row],[Male%(12-14)15]]</f>
        <v>0</v>
      </c>
      <c r="DI75" s="1">
        <f>$CT75*Table1[[#This Row],[Female% (12-14)]]</f>
        <v>0</v>
      </c>
      <c r="DJ75" s="1">
        <f>$CU75*Table1[[#This Row],[Male%(12-14)]]</f>
        <v>0</v>
      </c>
      <c r="DK75" s="1">
        <f>Table1[[#This Row],[Female% (15-17)17]]+Table1[[#This Row],[Male%(15-17)18]]</f>
        <v>0</v>
      </c>
      <c r="DL75" s="1">
        <f>$CT75*Table1[[#This Row],[Female% (15-17)]]</f>
        <v>0</v>
      </c>
      <c r="DM75" s="1">
        <f>$CU75*Table1[[#This Row],[Male%(15-17)]]</f>
        <v>0</v>
      </c>
      <c r="DN75" s="1">
        <f>$AF75*Table1[[#This Row],[Total% (18-19)]]</f>
        <v>0</v>
      </c>
      <c r="DO75" s="1">
        <f>$CT75*Table1[[#This Row],[Female% (18-19)]]</f>
        <v>0</v>
      </c>
      <c r="DP75" s="1">
        <f>$CU75*Table1[[#This Row],[Male%(18-19)]]</f>
        <v>0</v>
      </c>
      <c r="DQ75" s="1">
        <f>$AF75*Table1[[#This Row],[Total% (20-24)]]</f>
        <v>0</v>
      </c>
      <c r="DR75" s="1">
        <f>$CT75*Table1[[#This Row],[Female% (20-24)]]</f>
        <v>0</v>
      </c>
      <c r="DS75" s="1">
        <f>$CU75*Table1[[#This Row],[Male% (20-24)]]</f>
        <v>0</v>
      </c>
      <c r="DT75" s="1">
        <f>$AF75*Table1[[#This Row],[Total% (25-29)]]</f>
        <v>0</v>
      </c>
      <c r="DU75" s="1">
        <f>$CT75*Table1[[#This Row],[Female% (25-29)]]</f>
        <v>0</v>
      </c>
      <c r="DV75" s="1">
        <f>$CU75*Table1[[#This Row],[Male% (25-29)]]</f>
        <v>0</v>
      </c>
      <c r="DW75" s="1">
        <f>$AF75*Table1[[#This Row],[Total%   (30-34)]]</f>
        <v>0</v>
      </c>
      <c r="DX75" s="1">
        <f>$CT75*Table1[[#This Row],[Female%   (30-34)]]</f>
        <v>0</v>
      </c>
      <c r="DY75" s="1">
        <f>$CU75*Table1[[#This Row],[Male%  (30-34)]]</f>
        <v>0</v>
      </c>
      <c r="DZ75" s="1">
        <f>$AF75*Table1[[#This Row],[Total% (35-39)]]</f>
        <v>0</v>
      </c>
      <c r="EA75" s="1">
        <f>$CT75*Table1[[#This Row],[Female% (35-39)]]</f>
        <v>0</v>
      </c>
      <c r="EB75" s="1">
        <f>$CU75*Table1[[#This Row],[Male% (35-39)]]</f>
        <v>0</v>
      </c>
      <c r="EC75" s="1">
        <f>$AF75*Table1[[#This Row],[Total% (40-44)]]</f>
        <v>0</v>
      </c>
      <c r="ED75" s="1">
        <f>$CT75*Table1[[#This Row],[Female% (40-44)]]</f>
        <v>0</v>
      </c>
      <c r="EE75" s="1">
        <f>$CU75*Table1[[#This Row],[Male%(55-59)]]</f>
        <v>0</v>
      </c>
      <c r="EF75" s="1">
        <f>$AF75*Table1[[#This Row],[Total% (45-49)]]</f>
        <v>0</v>
      </c>
      <c r="EG75" s="1">
        <f>$CT75*Table1[[#This Row],[Female% (45-49)]]</f>
        <v>0</v>
      </c>
      <c r="EH75" s="1">
        <f>$CU75*Table1[[#This Row],[Male% (45-49)]]</f>
        <v>0</v>
      </c>
      <c r="EI75" s="1">
        <f>$AF75*Table1[[#This Row],[Total% (50-54)]]</f>
        <v>0</v>
      </c>
      <c r="EJ75" s="1">
        <f>$CT75*Table1[[#This Row],[Female%(50-54)]]</f>
        <v>0</v>
      </c>
      <c r="EK75" s="1">
        <f>$CU75*Table1[[#This Row],[Male% (50-54)]]</f>
        <v>0</v>
      </c>
      <c r="EL75" s="1">
        <f>$AF75*Table1[[#This Row],[Total% (55-59)]]</f>
        <v>0</v>
      </c>
      <c r="EM75" s="1">
        <f>$CT75*Table1[[#This Row],[Female% (55-59)]]</f>
        <v>0</v>
      </c>
      <c r="EN75" s="1">
        <f>$CU75*Table1[[#This Row],[Male% (55-59)]]</f>
        <v>0</v>
      </c>
      <c r="EO75" s="1">
        <f>$AF75*Table1[[#This Row],[Total% (60-64)]]</f>
        <v>0</v>
      </c>
      <c r="EP75" s="1">
        <f>$CT75*Table1[[#This Row],[Female%(60-64)]]</f>
        <v>0</v>
      </c>
      <c r="EQ75" s="1">
        <f>$CU75*Table1[[#This Row],[Male%(60-64)]]</f>
        <v>0</v>
      </c>
      <c r="ER75" s="1">
        <f>$AF75*Table1[[#This Row],[Total% (&gt;=65)]]</f>
        <v>0</v>
      </c>
      <c r="ES75" s="1">
        <f>$CT75*Table1[[#This Row],[Female%(&gt;=65)]]</f>
        <v>0</v>
      </c>
      <c r="ET75" s="1">
        <f>$CU75*Table1[[#This Row],[Male% (&gt;=65)]]</f>
        <v>0</v>
      </c>
    </row>
    <row r="76" spans="1:150" hidden="1" x14ac:dyDescent="0.35">
      <c r="A76" t="s">
        <v>104</v>
      </c>
      <c r="B76" t="s">
        <v>105</v>
      </c>
      <c r="C76" t="s">
        <v>438</v>
      </c>
      <c r="D76" t="s">
        <v>439</v>
      </c>
      <c r="E76" t="s">
        <v>510</v>
      </c>
      <c r="F76" t="s">
        <v>511</v>
      </c>
      <c r="H76">
        <v>3</v>
      </c>
      <c r="I76" s="1">
        <v>0</v>
      </c>
      <c r="J76" s="1">
        <v>657</v>
      </c>
      <c r="K76" s="1">
        <v>65695</v>
      </c>
      <c r="L76" s="1">
        <v>1971</v>
      </c>
      <c r="M76" s="1">
        <v>0</v>
      </c>
      <c r="N76" s="1">
        <v>67666</v>
      </c>
      <c r="O76" s="3">
        <v>1</v>
      </c>
      <c r="P76" s="3">
        <v>0</v>
      </c>
      <c r="Q76" s="3">
        <v>0</v>
      </c>
      <c r="R76" s="3">
        <v>0</v>
      </c>
      <c r="S76" s="3">
        <v>0</v>
      </c>
      <c r="T76" s="1">
        <v>68323</v>
      </c>
      <c r="U76" s="1">
        <v>0</v>
      </c>
      <c r="V76" s="10">
        <f>Table1[[#This Row],[Pop NW+RATAA]]*Table1[[#This Row],[Perc_pop_Northern_Aleppo]]</f>
        <v>0</v>
      </c>
      <c r="W76" s="10">
        <f>Table1[[#This Row],[Pop NW+RATAA]]*Table1[[#This Row],[Perc_pop_Afrin District]]</f>
        <v>0</v>
      </c>
      <c r="X76" s="10">
        <f>Table1[[#This Row],[Pop NW+RATAA]]*Table1[[#This Row],[Perc_pop_Euphrates Shiled]]</f>
        <v>0</v>
      </c>
      <c r="Y76" s="10">
        <f>Table1[[#This Row],[Pop NW+RATAA]]*Table1[[#This Row],[Perc_Pop_Idleb_NSAG]]</f>
        <v>0</v>
      </c>
      <c r="Z76" s="3">
        <v>0</v>
      </c>
      <c r="AA76" s="3">
        <v>0</v>
      </c>
      <c r="AB76" s="3">
        <v>0</v>
      </c>
      <c r="AC76" s="3">
        <v>0</v>
      </c>
      <c r="AD76" s="1">
        <v>67666</v>
      </c>
      <c r="AE76" s="1">
        <v>0</v>
      </c>
      <c r="AF76" s="1">
        <v>0</v>
      </c>
      <c r="AG76" s="1">
        <v>0</v>
      </c>
      <c r="AH76" s="1">
        <v>0</v>
      </c>
      <c r="AI76" s="1">
        <f>Table1[[#This Row],[NWS_pin]]*Table1[[#This Row],[Perc_pop_Northern_Aleppo]]</f>
        <v>0</v>
      </c>
      <c r="AJ76" s="1">
        <f>Table1[[#This Row],[NWS_pin]]*Table1[[#This Row],[Perc_pop_Afrin District]]</f>
        <v>0</v>
      </c>
      <c r="AK76" s="1">
        <f>Table1[[#This Row],[NWS_pin]]*Table1[[#This Row],[Perc_pop_Euphrates Shiled]]</f>
        <v>0</v>
      </c>
      <c r="AL76" s="1">
        <f>Table1[[#This Row],[NWS_pin]]*Table1[[#This Row],[Perc_Pop_Idleb_NSAG]]</f>
        <v>0</v>
      </c>
      <c r="AM76" s="4">
        <v>0.46825383933488102</v>
      </c>
      <c r="AN76" s="4">
        <v>0.53174616066511904</v>
      </c>
      <c r="AO76" s="4">
        <v>0.116000978952521</v>
      </c>
      <c r="AP76" s="4">
        <v>0.46685560988803798</v>
      </c>
      <c r="AQ76" s="4">
        <v>0.52697728128066701</v>
      </c>
      <c r="AR76" s="4">
        <v>0</v>
      </c>
      <c r="AS76" s="4">
        <v>0</v>
      </c>
      <c r="AT76" s="4">
        <v>6.1671088312953599E-3</v>
      </c>
      <c r="AU76" s="4">
        <v>1.8603046193197002E-2</v>
      </c>
      <c r="AV76" s="4">
        <v>2.3001789888708001E-2</v>
      </c>
      <c r="AW76" s="4">
        <v>1.4729527631075601E-2</v>
      </c>
      <c r="AX76" s="4">
        <v>4.4574430578482802E-2</v>
      </c>
      <c r="AY76" s="4">
        <v>6.02313918515174E-2</v>
      </c>
      <c r="AZ76" s="4">
        <v>3.07869643572962E-2</v>
      </c>
      <c r="BA76" s="4">
        <v>9.27876184123511E-2</v>
      </c>
      <c r="BB76" s="4">
        <v>7.6139886513930999E-2</v>
      </c>
      <c r="BC76" s="4">
        <v>0.107447553836995</v>
      </c>
      <c r="BD76" s="4">
        <v>6.9090714111266702E-2</v>
      </c>
      <c r="BE76" s="4">
        <v>6.4665801963459293E-2</v>
      </c>
      <c r="BF76" s="4">
        <v>7.2987276522434294E-2</v>
      </c>
      <c r="BG76" s="4">
        <v>0.103134671911163</v>
      </c>
      <c r="BH76" s="4">
        <v>8.9496576492308702E-2</v>
      </c>
      <c r="BI76" s="4">
        <v>0.115144331808107</v>
      </c>
      <c r="BJ76" s="4">
        <v>8.7185475829705206E-2</v>
      </c>
      <c r="BK76" s="4">
        <v>8.1319734095268895E-2</v>
      </c>
      <c r="BL76" s="4">
        <v>9.2350827816941095E-2</v>
      </c>
      <c r="BM76" s="4">
        <v>4.3689389099912997E-2</v>
      </c>
      <c r="BN76" s="4">
        <v>4.8767648015631201E-2</v>
      </c>
      <c r="BO76" s="4">
        <v>3.9217491773099598E-2</v>
      </c>
      <c r="BP76" s="4">
        <v>6.0072862302183401E-2</v>
      </c>
      <c r="BQ76" s="4">
        <v>5.3352969304452498E-2</v>
      </c>
      <c r="BR76" s="4">
        <v>6.5990376952728802E-2</v>
      </c>
      <c r="BS76" s="4">
        <v>4.3204440847754003E-2</v>
      </c>
      <c r="BT76" s="4">
        <v>7.0365907427065999E-2</v>
      </c>
      <c r="BU76" s="4">
        <v>1.9286146841041501E-2</v>
      </c>
      <c r="BV76" s="4">
        <v>0.110257666769476</v>
      </c>
      <c r="BW76" s="4">
        <v>0.183535573210795</v>
      </c>
      <c r="BX76" s="4">
        <v>4.5729394507667699E-2</v>
      </c>
      <c r="BY76" s="4">
        <v>0.131280260188017</v>
      </c>
      <c r="BZ76" s="4">
        <v>8.9687445296200902E-2</v>
      </c>
      <c r="CA76" s="4">
        <v>0.16790674986022699</v>
      </c>
      <c r="CB76" s="4">
        <v>6.8475254153643902E-2</v>
      </c>
      <c r="CC76" s="4">
        <v>6.1919095713287901E-2</v>
      </c>
      <c r="CD76" s="4">
        <v>7.4248584716377894E-2</v>
      </c>
      <c r="CE76" s="4">
        <v>6.1301011596148702E-2</v>
      </c>
      <c r="CF76" s="4">
        <v>5.9694773410427997E-2</v>
      </c>
      <c r="CG76" s="4">
        <v>6.2715459415403699E-2</v>
      </c>
      <c r="CH76" s="4">
        <v>4.0982153344497403E-2</v>
      </c>
      <c r="CI76" s="4">
        <v>3.4192822309832997E-2</v>
      </c>
      <c r="CJ76" s="4">
        <v>4.6960814891429101E-2</v>
      </c>
      <c r="CK76" s="4">
        <v>1.9948101211852101E-2</v>
      </c>
      <c r="CL76" s="4">
        <v>0</v>
      </c>
      <c r="CM76" s="4">
        <v>3.7514330497281999E-2</v>
      </c>
      <c r="CN76" s="4">
        <v>0</v>
      </c>
      <c r="CO76" s="4">
        <v>0</v>
      </c>
      <c r="CP76" s="4">
        <v>0</v>
      </c>
      <c r="CQ76" s="4">
        <v>5.4129034503489302E-3</v>
      </c>
      <c r="CR76" s="4">
        <v>3.62858450711259E-3</v>
      </c>
      <c r="CS76" s="4">
        <v>6.9841685718935696E-3</v>
      </c>
      <c r="CT76" s="1">
        <f>Table1[[#This Row],[Female %]]*Table1[[#This Row],[NWS_pin]]</f>
        <v>0</v>
      </c>
      <c r="CU76" s="1">
        <f>Table1[[#This Row],[Male %]]*Table1[[#This Row],[NWS_pin]]</f>
        <v>0</v>
      </c>
      <c r="CV76" s="1">
        <f>Table1[[#This Row],[Female% (0-2)22]]+Table1[[#This Row],[Male%(0-2)3]]</f>
        <v>0</v>
      </c>
      <c r="CW76" s="1">
        <f>$CT76*Table1[[#This Row],[Female% (0-2)]]</f>
        <v>0</v>
      </c>
      <c r="CX76" s="1">
        <f>$CU76*Table1[[#This Row],[Male%(0-2)]]</f>
        <v>0</v>
      </c>
      <c r="CY76" s="1">
        <f>Table1[[#This Row],[Female%  (3-5)5]]+Table1[[#This Row],[Male% (3-5)6]]</f>
        <v>0</v>
      </c>
      <c r="CZ76" s="1">
        <f>$AF76*Table1[[#This Row],[Female%  (3-5)]]</f>
        <v>0</v>
      </c>
      <c r="DA76" s="1">
        <f>$CU76*Table1[[#This Row],[Male% (3-5)]]</f>
        <v>0</v>
      </c>
      <c r="DB76" s="1">
        <f>Table1[[#This Row],[Female% (6-8)8]]+Table1[[#This Row],[Male%(6-8)9]]</f>
        <v>0</v>
      </c>
      <c r="DC76" s="1">
        <f>$CT76*Table1[[#This Row],[Female% (6-8)]]</f>
        <v>0</v>
      </c>
      <c r="DD76" s="1">
        <f>$CU76*Table1[[#This Row],[Male%(6-8)]]</f>
        <v>0</v>
      </c>
      <c r="DE76" s="1">
        <f>Table1[[#This Row],[Female% (9 - 11)11]]+Table1[[#This Row],[Male% (9 - 11)12]]</f>
        <v>0</v>
      </c>
      <c r="DF76" s="1">
        <f>$CT76*Table1[[#This Row],[Female% (9 - 11)]]</f>
        <v>0</v>
      </c>
      <c r="DG76" s="1">
        <f>$CU76*Table1[[#This Row],[Male% (9 - 11)]]</f>
        <v>0</v>
      </c>
      <c r="DH76" s="1">
        <f>Table1[[#This Row],[Female% (12-14)14]]+Table1[[#This Row],[Male%(12-14)15]]</f>
        <v>0</v>
      </c>
      <c r="DI76" s="1">
        <f>$CT76*Table1[[#This Row],[Female% (12-14)]]</f>
        <v>0</v>
      </c>
      <c r="DJ76" s="1">
        <f>$CU76*Table1[[#This Row],[Male%(12-14)]]</f>
        <v>0</v>
      </c>
      <c r="DK76" s="1">
        <f>Table1[[#This Row],[Female% (15-17)17]]+Table1[[#This Row],[Male%(15-17)18]]</f>
        <v>0</v>
      </c>
      <c r="DL76" s="1">
        <f>$CT76*Table1[[#This Row],[Female% (15-17)]]</f>
        <v>0</v>
      </c>
      <c r="DM76" s="1">
        <f>$CU76*Table1[[#This Row],[Male%(15-17)]]</f>
        <v>0</v>
      </c>
      <c r="DN76" s="1">
        <f>$AF76*Table1[[#This Row],[Total% (18-19)]]</f>
        <v>0</v>
      </c>
      <c r="DO76" s="1">
        <f>$CT76*Table1[[#This Row],[Female% (18-19)]]</f>
        <v>0</v>
      </c>
      <c r="DP76" s="1">
        <f>$CU76*Table1[[#This Row],[Male%(18-19)]]</f>
        <v>0</v>
      </c>
      <c r="DQ76" s="1">
        <f>$AF76*Table1[[#This Row],[Total% (20-24)]]</f>
        <v>0</v>
      </c>
      <c r="DR76" s="1">
        <f>$CT76*Table1[[#This Row],[Female% (20-24)]]</f>
        <v>0</v>
      </c>
      <c r="DS76" s="1">
        <f>$CU76*Table1[[#This Row],[Male% (20-24)]]</f>
        <v>0</v>
      </c>
      <c r="DT76" s="1">
        <f>$AF76*Table1[[#This Row],[Total% (25-29)]]</f>
        <v>0</v>
      </c>
      <c r="DU76" s="1">
        <f>$CT76*Table1[[#This Row],[Female% (25-29)]]</f>
        <v>0</v>
      </c>
      <c r="DV76" s="1">
        <f>$CU76*Table1[[#This Row],[Male% (25-29)]]</f>
        <v>0</v>
      </c>
      <c r="DW76" s="1">
        <f>$AF76*Table1[[#This Row],[Total%   (30-34)]]</f>
        <v>0</v>
      </c>
      <c r="DX76" s="1">
        <f>$CT76*Table1[[#This Row],[Female%   (30-34)]]</f>
        <v>0</v>
      </c>
      <c r="DY76" s="1">
        <f>$CU76*Table1[[#This Row],[Male%  (30-34)]]</f>
        <v>0</v>
      </c>
      <c r="DZ76" s="1">
        <f>$AF76*Table1[[#This Row],[Total% (35-39)]]</f>
        <v>0</v>
      </c>
      <c r="EA76" s="1">
        <f>$CT76*Table1[[#This Row],[Female% (35-39)]]</f>
        <v>0</v>
      </c>
      <c r="EB76" s="1">
        <f>$CU76*Table1[[#This Row],[Male% (35-39)]]</f>
        <v>0</v>
      </c>
      <c r="EC76" s="1">
        <f>$AF76*Table1[[#This Row],[Total% (40-44)]]</f>
        <v>0</v>
      </c>
      <c r="ED76" s="1">
        <f>$CT76*Table1[[#This Row],[Female% (40-44)]]</f>
        <v>0</v>
      </c>
      <c r="EE76" s="1">
        <f>$CU76*Table1[[#This Row],[Male%(55-59)]]</f>
        <v>0</v>
      </c>
      <c r="EF76" s="1">
        <f>$AF76*Table1[[#This Row],[Total% (45-49)]]</f>
        <v>0</v>
      </c>
      <c r="EG76" s="1">
        <f>$CT76*Table1[[#This Row],[Female% (45-49)]]</f>
        <v>0</v>
      </c>
      <c r="EH76" s="1">
        <f>$CU76*Table1[[#This Row],[Male% (45-49)]]</f>
        <v>0</v>
      </c>
      <c r="EI76" s="1">
        <f>$AF76*Table1[[#This Row],[Total% (50-54)]]</f>
        <v>0</v>
      </c>
      <c r="EJ76" s="1">
        <f>$CT76*Table1[[#This Row],[Female%(50-54)]]</f>
        <v>0</v>
      </c>
      <c r="EK76" s="1">
        <f>$CU76*Table1[[#This Row],[Male% (50-54)]]</f>
        <v>0</v>
      </c>
      <c r="EL76" s="1">
        <f>$AF76*Table1[[#This Row],[Total% (55-59)]]</f>
        <v>0</v>
      </c>
      <c r="EM76" s="1">
        <f>$CT76*Table1[[#This Row],[Female% (55-59)]]</f>
        <v>0</v>
      </c>
      <c r="EN76" s="1">
        <f>$CU76*Table1[[#This Row],[Male% (55-59)]]</f>
        <v>0</v>
      </c>
      <c r="EO76" s="1">
        <f>$AF76*Table1[[#This Row],[Total% (60-64)]]</f>
        <v>0</v>
      </c>
      <c r="EP76" s="1">
        <f>$CT76*Table1[[#This Row],[Female%(60-64)]]</f>
        <v>0</v>
      </c>
      <c r="EQ76" s="1">
        <f>$CU76*Table1[[#This Row],[Male%(60-64)]]</f>
        <v>0</v>
      </c>
      <c r="ER76" s="1">
        <f>$AF76*Table1[[#This Row],[Total% (&gt;=65)]]</f>
        <v>0</v>
      </c>
      <c r="ES76" s="1">
        <f>$CT76*Table1[[#This Row],[Female%(&gt;=65)]]</f>
        <v>0</v>
      </c>
      <c r="ET76" s="1">
        <f>$CU76*Table1[[#This Row],[Male% (&gt;=65)]]</f>
        <v>0</v>
      </c>
    </row>
    <row r="77" spans="1:150" hidden="1" x14ac:dyDescent="0.35">
      <c r="A77" t="s">
        <v>104</v>
      </c>
      <c r="B77" t="s">
        <v>105</v>
      </c>
      <c r="C77" t="s">
        <v>173</v>
      </c>
      <c r="D77" t="s">
        <v>174</v>
      </c>
      <c r="E77" t="s">
        <v>175</v>
      </c>
      <c r="F77" t="s">
        <v>176</v>
      </c>
      <c r="H77">
        <v>3</v>
      </c>
      <c r="I77" s="1">
        <v>0</v>
      </c>
      <c r="J77" s="1">
        <v>60802</v>
      </c>
      <c r="K77" s="1">
        <v>27834</v>
      </c>
      <c r="L77" s="1">
        <v>1126</v>
      </c>
      <c r="M77" s="1">
        <v>0</v>
      </c>
      <c r="N77" s="1">
        <v>28960</v>
      </c>
      <c r="O77" s="3">
        <v>1</v>
      </c>
      <c r="P77" s="3">
        <v>0</v>
      </c>
      <c r="Q77" s="3">
        <v>0</v>
      </c>
      <c r="R77" s="3">
        <v>0</v>
      </c>
      <c r="S77" s="3">
        <v>0</v>
      </c>
      <c r="T77" s="1">
        <v>89762</v>
      </c>
      <c r="U77" s="1">
        <v>0</v>
      </c>
      <c r="V77" s="10">
        <f>Table1[[#This Row],[Pop NW+RATAA]]*Table1[[#This Row],[Perc_pop_Northern_Aleppo]]</f>
        <v>0</v>
      </c>
      <c r="W77" s="10">
        <f>Table1[[#This Row],[Pop NW+RATAA]]*Table1[[#This Row],[Perc_pop_Afrin District]]</f>
        <v>0</v>
      </c>
      <c r="X77" s="10">
        <f>Table1[[#This Row],[Pop NW+RATAA]]*Table1[[#This Row],[Perc_pop_Euphrates Shiled]]</f>
        <v>0</v>
      </c>
      <c r="Y77" s="10">
        <f>Table1[[#This Row],[Pop NW+RATAA]]*Table1[[#This Row],[Perc_Pop_Idleb_NSAG]]</f>
        <v>0</v>
      </c>
      <c r="Z77" s="3">
        <v>0</v>
      </c>
      <c r="AA77" s="3">
        <v>0</v>
      </c>
      <c r="AB77" s="3">
        <v>0</v>
      </c>
      <c r="AC77" s="3">
        <v>0</v>
      </c>
      <c r="AD77" s="1">
        <v>28960</v>
      </c>
      <c r="AE77" s="1">
        <v>0</v>
      </c>
      <c r="AF77" s="1">
        <v>0</v>
      </c>
      <c r="AG77" s="1">
        <v>0</v>
      </c>
      <c r="AH77" s="1">
        <v>0</v>
      </c>
      <c r="AI77" s="1">
        <f>Table1[[#This Row],[NWS_pin]]*Table1[[#This Row],[Perc_pop_Northern_Aleppo]]</f>
        <v>0</v>
      </c>
      <c r="AJ77" s="1">
        <f>Table1[[#This Row],[NWS_pin]]*Table1[[#This Row],[Perc_pop_Afrin District]]</f>
        <v>0</v>
      </c>
      <c r="AK77" s="1">
        <f>Table1[[#This Row],[NWS_pin]]*Table1[[#This Row],[Perc_pop_Euphrates Shiled]]</f>
        <v>0</v>
      </c>
      <c r="AL77" s="1">
        <f>Table1[[#This Row],[NWS_pin]]*Table1[[#This Row],[Perc_Pop_Idleb_NSAG]]</f>
        <v>0</v>
      </c>
      <c r="AM77" s="4">
        <v>0.49406299267535903</v>
      </c>
      <c r="AN77" s="4">
        <v>0.50593700732464097</v>
      </c>
      <c r="AO77" s="4">
        <v>0.15376138352466601</v>
      </c>
      <c r="AP77" s="4">
        <v>0.47370208116190698</v>
      </c>
      <c r="AQ77" s="4">
        <v>0.52629791883809296</v>
      </c>
      <c r="AR77" s="4">
        <v>0</v>
      </c>
      <c r="AS77" s="4">
        <v>0</v>
      </c>
      <c r="AT77" s="4">
        <v>0</v>
      </c>
      <c r="AU77" s="4">
        <v>1.6812622448474E-2</v>
      </c>
      <c r="AV77" s="4">
        <v>1.9752722893419401E-2</v>
      </c>
      <c r="AW77" s="4">
        <v>1.3941524261217199E-2</v>
      </c>
      <c r="AX77" s="4">
        <v>5.0555993557596698E-2</v>
      </c>
      <c r="AY77" s="4">
        <v>7.8054525977176298E-2</v>
      </c>
      <c r="AZ77" s="4">
        <v>2.3702833925650198E-2</v>
      </c>
      <c r="BA77" s="4">
        <v>6.2784386843402706E-2</v>
      </c>
      <c r="BB77" s="4">
        <v>6.8058618830903903E-2</v>
      </c>
      <c r="BC77" s="4">
        <v>5.7633937672688297E-2</v>
      </c>
      <c r="BD77" s="4">
        <v>8.9474224890261397E-2</v>
      </c>
      <c r="BE77" s="4">
        <v>7.8532708775426993E-2</v>
      </c>
      <c r="BF77" s="4">
        <v>0.100158950691772</v>
      </c>
      <c r="BG77" s="4">
        <v>0.106877478399609</v>
      </c>
      <c r="BH77" s="4">
        <v>7.9010891573677605E-2</v>
      </c>
      <c r="BI77" s="4">
        <v>0.13409005443881</v>
      </c>
      <c r="BJ77" s="4">
        <v>8.8540561748937596E-2</v>
      </c>
      <c r="BK77" s="4">
        <v>7.4730212197917395E-2</v>
      </c>
      <c r="BL77" s="4">
        <v>0.102026791319592</v>
      </c>
      <c r="BM77" s="4">
        <v>3.1864698270400602E-2</v>
      </c>
      <c r="BN77" s="4">
        <v>4.4503399359975E-2</v>
      </c>
      <c r="BO77" s="4">
        <v>1.9522619328865998E-2</v>
      </c>
      <c r="BP77" s="4">
        <v>7.8308967514028494E-2</v>
      </c>
      <c r="BQ77" s="4">
        <v>9.3765660893960795E-2</v>
      </c>
      <c r="BR77" s="4">
        <v>6.3215032740337199E-2</v>
      </c>
      <c r="BS77" s="4">
        <v>5.5258348932439499E-2</v>
      </c>
      <c r="BT77" s="4">
        <v>7.7337251779800303E-2</v>
      </c>
      <c r="BU77" s="4">
        <v>3.3697623668560703E-2</v>
      </c>
      <c r="BV77" s="4">
        <v>8.1357555918424099E-2</v>
      </c>
      <c r="BW77" s="4">
        <v>9.2570203898334202E-2</v>
      </c>
      <c r="BX77" s="4">
        <v>7.0408061541518296E-2</v>
      </c>
      <c r="BY77" s="4">
        <v>7.5957789826607197E-2</v>
      </c>
      <c r="BZ77" s="4">
        <v>9.4482935091336803E-2</v>
      </c>
      <c r="CA77" s="4">
        <v>5.7867417751165801E-2</v>
      </c>
      <c r="CB77" s="4">
        <v>0.109583034723555</v>
      </c>
      <c r="CC77" s="4">
        <v>9.4482935091336803E-2</v>
      </c>
      <c r="CD77" s="4">
        <v>0.124328744774377</v>
      </c>
      <c r="CE77" s="4">
        <v>8.61893840615163E-2</v>
      </c>
      <c r="CF77" s="4">
        <v>7.97281657710536E-2</v>
      </c>
      <c r="CG77" s="4">
        <v>9.2498961733636198E-2</v>
      </c>
      <c r="CH77" s="4">
        <v>4.9149825567573698E-2</v>
      </c>
      <c r="CI77" s="4">
        <v>2.4989767865680901E-2</v>
      </c>
      <c r="CJ77" s="4">
        <v>7.2742862326292707E-2</v>
      </c>
      <c r="CK77" s="4">
        <v>1.4815823397577E-2</v>
      </c>
      <c r="CL77" s="4">
        <v>0</v>
      </c>
      <c r="CM77" s="4">
        <v>2.92839289932991E-2</v>
      </c>
      <c r="CN77" s="4">
        <v>2.4693038995961701E-3</v>
      </c>
      <c r="CO77" s="4">
        <v>0</v>
      </c>
      <c r="CP77" s="4">
        <v>4.88065483221651E-3</v>
      </c>
      <c r="CQ77" s="4">
        <v>0</v>
      </c>
      <c r="CR77" s="4">
        <v>0</v>
      </c>
      <c r="CS77" s="4">
        <v>0</v>
      </c>
      <c r="CT77" s="1">
        <f>Table1[[#This Row],[Female %]]*Table1[[#This Row],[NWS_pin]]</f>
        <v>0</v>
      </c>
      <c r="CU77" s="1">
        <f>Table1[[#This Row],[Male %]]*Table1[[#This Row],[NWS_pin]]</f>
        <v>0</v>
      </c>
      <c r="CV77" s="1">
        <f>Table1[[#This Row],[Female% (0-2)22]]+Table1[[#This Row],[Male%(0-2)3]]</f>
        <v>0</v>
      </c>
      <c r="CW77" s="1">
        <f>$CT77*Table1[[#This Row],[Female% (0-2)]]</f>
        <v>0</v>
      </c>
      <c r="CX77" s="1">
        <f>$CU77*Table1[[#This Row],[Male%(0-2)]]</f>
        <v>0</v>
      </c>
      <c r="CY77" s="1">
        <f>Table1[[#This Row],[Female%  (3-5)5]]+Table1[[#This Row],[Male% (3-5)6]]</f>
        <v>0</v>
      </c>
      <c r="CZ77" s="1">
        <f>$AF77*Table1[[#This Row],[Female%  (3-5)]]</f>
        <v>0</v>
      </c>
      <c r="DA77" s="1">
        <f>$CU77*Table1[[#This Row],[Male% (3-5)]]</f>
        <v>0</v>
      </c>
      <c r="DB77" s="1">
        <f>Table1[[#This Row],[Female% (6-8)8]]+Table1[[#This Row],[Male%(6-8)9]]</f>
        <v>0</v>
      </c>
      <c r="DC77" s="1">
        <f>$CT77*Table1[[#This Row],[Female% (6-8)]]</f>
        <v>0</v>
      </c>
      <c r="DD77" s="1">
        <f>$CU77*Table1[[#This Row],[Male%(6-8)]]</f>
        <v>0</v>
      </c>
      <c r="DE77" s="1">
        <f>Table1[[#This Row],[Female% (9 - 11)11]]+Table1[[#This Row],[Male% (9 - 11)12]]</f>
        <v>0</v>
      </c>
      <c r="DF77" s="1">
        <f>$CT77*Table1[[#This Row],[Female% (9 - 11)]]</f>
        <v>0</v>
      </c>
      <c r="DG77" s="1">
        <f>$CU77*Table1[[#This Row],[Male% (9 - 11)]]</f>
        <v>0</v>
      </c>
      <c r="DH77" s="1">
        <f>Table1[[#This Row],[Female% (12-14)14]]+Table1[[#This Row],[Male%(12-14)15]]</f>
        <v>0</v>
      </c>
      <c r="DI77" s="1">
        <f>$CT77*Table1[[#This Row],[Female% (12-14)]]</f>
        <v>0</v>
      </c>
      <c r="DJ77" s="1">
        <f>$CU77*Table1[[#This Row],[Male%(12-14)]]</f>
        <v>0</v>
      </c>
      <c r="DK77" s="1">
        <f>Table1[[#This Row],[Female% (15-17)17]]+Table1[[#This Row],[Male%(15-17)18]]</f>
        <v>0</v>
      </c>
      <c r="DL77" s="1">
        <f>$CT77*Table1[[#This Row],[Female% (15-17)]]</f>
        <v>0</v>
      </c>
      <c r="DM77" s="1">
        <f>$CU77*Table1[[#This Row],[Male%(15-17)]]</f>
        <v>0</v>
      </c>
      <c r="DN77" s="1">
        <f>$AF77*Table1[[#This Row],[Total% (18-19)]]</f>
        <v>0</v>
      </c>
      <c r="DO77" s="1">
        <f>$CT77*Table1[[#This Row],[Female% (18-19)]]</f>
        <v>0</v>
      </c>
      <c r="DP77" s="1">
        <f>$CU77*Table1[[#This Row],[Male%(18-19)]]</f>
        <v>0</v>
      </c>
      <c r="DQ77" s="1">
        <f>$AF77*Table1[[#This Row],[Total% (20-24)]]</f>
        <v>0</v>
      </c>
      <c r="DR77" s="1">
        <f>$CT77*Table1[[#This Row],[Female% (20-24)]]</f>
        <v>0</v>
      </c>
      <c r="DS77" s="1">
        <f>$CU77*Table1[[#This Row],[Male% (20-24)]]</f>
        <v>0</v>
      </c>
      <c r="DT77" s="1">
        <f>$AF77*Table1[[#This Row],[Total% (25-29)]]</f>
        <v>0</v>
      </c>
      <c r="DU77" s="1">
        <f>$CT77*Table1[[#This Row],[Female% (25-29)]]</f>
        <v>0</v>
      </c>
      <c r="DV77" s="1">
        <f>$CU77*Table1[[#This Row],[Male% (25-29)]]</f>
        <v>0</v>
      </c>
      <c r="DW77" s="1">
        <f>$AF77*Table1[[#This Row],[Total%   (30-34)]]</f>
        <v>0</v>
      </c>
      <c r="DX77" s="1">
        <f>$CT77*Table1[[#This Row],[Female%   (30-34)]]</f>
        <v>0</v>
      </c>
      <c r="DY77" s="1">
        <f>$CU77*Table1[[#This Row],[Male%  (30-34)]]</f>
        <v>0</v>
      </c>
      <c r="DZ77" s="1">
        <f>$AF77*Table1[[#This Row],[Total% (35-39)]]</f>
        <v>0</v>
      </c>
      <c r="EA77" s="1">
        <f>$CT77*Table1[[#This Row],[Female% (35-39)]]</f>
        <v>0</v>
      </c>
      <c r="EB77" s="1">
        <f>$CU77*Table1[[#This Row],[Male% (35-39)]]</f>
        <v>0</v>
      </c>
      <c r="EC77" s="1">
        <f>$AF77*Table1[[#This Row],[Total% (40-44)]]</f>
        <v>0</v>
      </c>
      <c r="ED77" s="1">
        <f>$CT77*Table1[[#This Row],[Female% (40-44)]]</f>
        <v>0</v>
      </c>
      <c r="EE77" s="1">
        <f>$CU77*Table1[[#This Row],[Male%(55-59)]]</f>
        <v>0</v>
      </c>
      <c r="EF77" s="1">
        <f>$AF77*Table1[[#This Row],[Total% (45-49)]]</f>
        <v>0</v>
      </c>
      <c r="EG77" s="1">
        <f>$CT77*Table1[[#This Row],[Female% (45-49)]]</f>
        <v>0</v>
      </c>
      <c r="EH77" s="1">
        <f>$CU77*Table1[[#This Row],[Male% (45-49)]]</f>
        <v>0</v>
      </c>
      <c r="EI77" s="1">
        <f>$AF77*Table1[[#This Row],[Total% (50-54)]]</f>
        <v>0</v>
      </c>
      <c r="EJ77" s="1">
        <f>$CT77*Table1[[#This Row],[Female%(50-54)]]</f>
        <v>0</v>
      </c>
      <c r="EK77" s="1">
        <f>$CU77*Table1[[#This Row],[Male% (50-54)]]</f>
        <v>0</v>
      </c>
      <c r="EL77" s="1">
        <f>$AF77*Table1[[#This Row],[Total% (55-59)]]</f>
        <v>0</v>
      </c>
      <c r="EM77" s="1">
        <f>$CT77*Table1[[#This Row],[Female% (55-59)]]</f>
        <v>0</v>
      </c>
      <c r="EN77" s="1">
        <f>$CU77*Table1[[#This Row],[Male% (55-59)]]</f>
        <v>0</v>
      </c>
      <c r="EO77" s="1">
        <f>$AF77*Table1[[#This Row],[Total% (60-64)]]</f>
        <v>0</v>
      </c>
      <c r="EP77" s="1">
        <f>$CT77*Table1[[#This Row],[Female%(60-64)]]</f>
        <v>0</v>
      </c>
      <c r="EQ77" s="1">
        <f>$CU77*Table1[[#This Row],[Male%(60-64)]]</f>
        <v>0</v>
      </c>
      <c r="ER77" s="1">
        <f>$AF77*Table1[[#This Row],[Total% (&gt;=65)]]</f>
        <v>0</v>
      </c>
      <c r="ES77" s="1">
        <f>$CT77*Table1[[#This Row],[Female%(&gt;=65)]]</f>
        <v>0</v>
      </c>
      <c r="ET77" s="1">
        <f>$CU77*Table1[[#This Row],[Male% (&gt;=65)]]</f>
        <v>0</v>
      </c>
    </row>
    <row r="78" spans="1:150" hidden="1" x14ac:dyDescent="0.35">
      <c r="A78" t="s">
        <v>104</v>
      </c>
      <c r="B78" t="s">
        <v>105</v>
      </c>
      <c r="C78" t="s">
        <v>173</v>
      </c>
      <c r="D78" t="s">
        <v>174</v>
      </c>
      <c r="E78" t="s">
        <v>296</v>
      </c>
      <c r="F78" t="s">
        <v>297</v>
      </c>
      <c r="H78">
        <v>3</v>
      </c>
      <c r="I78" s="1">
        <v>0</v>
      </c>
      <c r="J78" s="1">
        <v>7052</v>
      </c>
      <c r="K78" s="1">
        <v>34677</v>
      </c>
      <c r="L78" s="1">
        <v>1637</v>
      </c>
      <c r="M78" s="1">
        <v>0</v>
      </c>
      <c r="N78" s="1">
        <v>36314</v>
      </c>
      <c r="O78" s="3">
        <v>1</v>
      </c>
      <c r="P78" s="3">
        <v>0</v>
      </c>
      <c r="Q78" s="3">
        <v>0</v>
      </c>
      <c r="R78" s="3">
        <v>0</v>
      </c>
      <c r="S78" s="3">
        <v>0</v>
      </c>
      <c r="T78" s="1">
        <v>43366</v>
      </c>
      <c r="U78" s="1">
        <v>0</v>
      </c>
      <c r="V78" s="10">
        <f>Table1[[#This Row],[Pop NW+RATAA]]*Table1[[#This Row],[Perc_pop_Northern_Aleppo]]</f>
        <v>0</v>
      </c>
      <c r="W78" s="10">
        <f>Table1[[#This Row],[Pop NW+RATAA]]*Table1[[#This Row],[Perc_pop_Afrin District]]</f>
        <v>0</v>
      </c>
      <c r="X78" s="10">
        <f>Table1[[#This Row],[Pop NW+RATAA]]*Table1[[#This Row],[Perc_pop_Euphrates Shiled]]</f>
        <v>0</v>
      </c>
      <c r="Y78" s="10">
        <f>Table1[[#This Row],[Pop NW+RATAA]]*Table1[[#This Row],[Perc_Pop_Idleb_NSAG]]</f>
        <v>0</v>
      </c>
      <c r="Z78" s="3">
        <v>0</v>
      </c>
      <c r="AA78" s="3">
        <v>0</v>
      </c>
      <c r="AB78" s="3">
        <v>0</v>
      </c>
      <c r="AC78" s="3">
        <v>0</v>
      </c>
      <c r="AD78" s="1">
        <v>36314</v>
      </c>
      <c r="AE78" s="1">
        <v>0</v>
      </c>
      <c r="AF78" s="1">
        <v>0</v>
      </c>
      <c r="AG78" s="1">
        <v>0</v>
      </c>
      <c r="AH78" s="1">
        <v>0</v>
      </c>
      <c r="AI78" s="1">
        <f>Table1[[#This Row],[NWS_pin]]*Table1[[#This Row],[Perc_pop_Northern_Aleppo]]</f>
        <v>0</v>
      </c>
      <c r="AJ78" s="1">
        <f>Table1[[#This Row],[NWS_pin]]*Table1[[#This Row],[Perc_pop_Afrin District]]</f>
        <v>0</v>
      </c>
      <c r="AK78" s="1">
        <f>Table1[[#This Row],[NWS_pin]]*Table1[[#This Row],[Perc_pop_Euphrates Shiled]]</f>
        <v>0</v>
      </c>
      <c r="AL78" s="1">
        <f>Table1[[#This Row],[NWS_pin]]*Table1[[#This Row],[Perc_Pop_Idleb_NSAG]]</f>
        <v>0</v>
      </c>
      <c r="AM78" s="4">
        <v>0.48529293972709903</v>
      </c>
      <c r="AN78" s="4">
        <v>0.51470706027290103</v>
      </c>
      <c r="AO78" s="4">
        <v>0.11136808192382899</v>
      </c>
      <c r="AP78" s="4">
        <v>0.48399965842453802</v>
      </c>
      <c r="AQ78" s="4">
        <v>0.51600034157546104</v>
      </c>
      <c r="AR78" s="4">
        <v>0</v>
      </c>
      <c r="AS78" s="4">
        <v>0</v>
      </c>
      <c r="AT78" s="4">
        <v>0</v>
      </c>
      <c r="AU78" s="4">
        <v>7.2194592500813099E-3</v>
      </c>
      <c r="AV78" s="4">
        <v>4.9588325312275097E-3</v>
      </c>
      <c r="AW78" s="4">
        <v>9.3508972479135408E-3</v>
      </c>
      <c r="AX78" s="4">
        <v>3.96836064671501E-2</v>
      </c>
      <c r="AY78" s="4">
        <v>6.1495119626026697E-2</v>
      </c>
      <c r="AZ78" s="4">
        <v>1.9118562468811801E-2</v>
      </c>
      <c r="BA78" s="4">
        <v>8.14519292237076E-2</v>
      </c>
      <c r="BB78" s="4">
        <v>8.6289282282164301E-2</v>
      </c>
      <c r="BC78" s="4">
        <v>7.6891017848231893E-2</v>
      </c>
      <c r="BD78" s="4">
        <v>0.106160333645218</v>
      </c>
      <c r="BE78" s="4">
        <v>0.102049837320868</v>
      </c>
      <c r="BF78" s="4">
        <v>0.110035926188914</v>
      </c>
      <c r="BG78" s="4">
        <v>0.116215306148375</v>
      </c>
      <c r="BH78" s="4">
        <v>9.6648976067129702E-2</v>
      </c>
      <c r="BI78" s="4">
        <v>0.13466347322765199</v>
      </c>
      <c r="BJ78" s="4">
        <v>8.1666442641898498E-2</v>
      </c>
      <c r="BK78" s="4">
        <v>7.6592631580964493E-2</v>
      </c>
      <c r="BL78" s="4">
        <v>8.6450299082637794E-2</v>
      </c>
      <c r="BM78" s="4">
        <v>3.0057660800374999E-2</v>
      </c>
      <c r="BN78" s="4">
        <v>3.10790813548961E-2</v>
      </c>
      <c r="BO78" s="4">
        <v>2.9094611676202399E-2</v>
      </c>
      <c r="BP78" s="4">
        <v>5.9793551473463699E-2</v>
      </c>
      <c r="BQ78" s="4">
        <v>6.1274105264771603E-2</v>
      </c>
      <c r="BR78" s="4">
        <v>5.8397607338897199E-2</v>
      </c>
      <c r="BS78" s="4">
        <v>5.6207241256720199E-2</v>
      </c>
      <c r="BT78" s="4">
        <v>7.0086698520950702E-2</v>
      </c>
      <c r="BU78" s="4">
        <v>4.31209575480727E-2</v>
      </c>
      <c r="BV78" s="4">
        <v>9.3377104598081004E-2</v>
      </c>
      <c r="BW78" s="4">
        <v>0.14260455501570801</v>
      </c>
      <c r="BX78" s="4">
        <v>4.6962870226060098E-2</v>
      </c>
      <c r="BY78" s="4">
        <v>0.131512278321301</v>
      </c>
      <c r="BZ78" s="4">
        <v>0.12794907178328099</v>
      </c>
      <c r="CA78" s="4">
        <v>0.13487185721414399</v>
      </c>
      <c r="CB78" s="4">
        <v>8.6586672184381402E-2</v>
      </c>
      <c r="CC78" s="4">
        <v>6.6453952157254303E-2</v>
      </c>
      <c r="CD78" s="4">
        <v>0.10556886155145</v>
      </c>
      <c r="CE78" s="4">
        <v>4.9953092388497697E-2</v>
      </c>
      <c r="CF78" s="4">
        <v>3.6258928247378801E-2</v>
      </c>
      <c r="CG78" s="4">
        <v>6.28646719763616E-2</v>
      </c>
      <c r="CH78" s="4">
        <v>4.0005376594436398E-2</v>
      </c>
      <c r="CI78" s="4">
        <v>3.6258928247378801E-2</v>
      </c>
      <c r="CJ78" s="4">
        <v>4.3537725521057502E-2</v>
      </c>
      <c r="CK78" s="4">
        <v>2.01099450063136E-2</v>
      </c>
      <c r="CL78" s="4">
        <v>0</v>
      </c>
      <c r="CM78" s="4">
        <v>3.9070660883593102E-2</v>
      </c>
      <c r="CN78" s="4">
        <v>0</v>
      </c>
      <c r="CO78" s="4">
        <v>0</v>
      </c>
      <c r="CP78" s="4">
        <v>0</v>
      </c>
      <c r="CQ78" s="4">
        <v>0</v>
      </c>
      <c r="CR78" s="4">
        <v>0</v>
      </c>
      <c r="CS78" s="4">
        <v>0</v>
      </c>
      <c r="CT78" s="1">
        <f>Table1[[#This Row],[Female %]]*Table1[[#This Row],[NWS_pin]]</f>
        <v>0</v>
      </c>
      <c r="CU78" s="1">
        <f>Table1[[#This Row],[Male %]]*Table1[[#This Row],[NWS_pin]]</f>
        <v>0</v>
      </c>
      <c r="CV78" s="1">
        <f>Table1[[#This Row],[Female% (0-2)22]]+Table1[[#This Row],[Male%(0-2)3]]</f>
        <v>0</v>
      </c>
      <c r="CW78" s="1">
        <f>$CT78*Table1[[#This Row],[Female% (0-2)]]</f>
        <v>0</v>
      </c>
      <c r="CX78" s="1">
        <f>$CU78*Table1[[#This Row],[Male%(0-2)]]</f>
        <v>0</v>
      </c>
      <c r="CY78" s="1">
        <f>Table1[[#This Row],[Female%  (3-5)5]]+Table1[[#This Row],[Male% (3-5)6]]</f>
        <v>0</v>
      </c>
      <c r="CZ78" s="1">
        <f>$AF78*Table1[[#This Row],[Female%  (3-5)]]</f>
        <v>0</v>
      </c>
      <c r="DA78" s="1">
        <f>$CU78*Table1[[#This Row],[Male% (3-5)]]</f>
        <v>0</v>
      </c>
      <c r="DB78" s="1">
        <f>Table1[[#This Row],[Female% (6-8)8]]+Table1[[#This Row],[Male%(6-8)9]]</f>
        <v>0</v>
      </c>
      <c r="DC78" s="1">
        <f>$CT78*Table1[[#This Row],[Female% (6-8)]]</f>
        <v>0</v>
      </c>
      <c r="DD78" s="1">
        <f>$CU78*Table1[[#This Row],[Male%(6-8)]]</f>
        <v>0</v>
      </c>
      <c r="DE78" s="1">
        <f>Table1[[#This Row],[Female% (9 - 11)11]]+Table1[[#This Row],[Male% (9 - 11)12]]</f>
        <v>0</v>
      </c>
      <c r="DF78" s="1">
        <f>$CT78*Table1[[#This Row],[Female% (9 - 11)]]</f>
        <v>0</v>
      </c>
      <c r="DG78" s="1">
        <f>$CU78*Table1[[#This Row],[Male% (9 - 11)]]</f>
        <v>0</v>
      </c>
      <c r="DH78" s="1">
        <f>Table1[[#This Row],[Female% (12-14)14]]+Table1[[#This Row],[Male%(12-14)15]]</f>
        <v>0</v>
      </c>
      <c r="DI78" s="1">
        <f>$CT78*Table1[[#This Row],[Female% (12-14)]]</f>
        <v>0</v>
      </c>
      <c r="DJ78" s="1">
        <f>$CU78*Table1[[#This Row],[Male%(12-14)]]</f>
        <v>0</v>
      </c>
      <c r="DK78" s="1">
        <f>Table1[[#This Row],[Female% (15-17)17]]+Table1[[#This Row],[Male%(15-17)18]]</f>
        <v>0</v>
      </c>
      <c r="DL78" s="1">
        <f>$CT78*Table1[[#This Row],[Female% (15-17)]]</f>
        <v>0</v>
      </c>
      <c r="DM78" s="1">
        <f>$CU78*Table1[[#This Row],[Male%(15-17)]]</f>
        <v>0</v>
      </c>
      <c r="DN78" s="1">
        <f>$AF78*Table1[[#This Row],[Total% (18-19)]]</f>
        <v>0</v>
      </c>
      <c r="DO78" s="1">
        <f>$CT78*Table1[[#This Row],[Female% (18-19)]]</f>
        <v>0</v>
      </c>
      <c r="DP78" s="1">
        <f>$CU78*Table1[[#This Row],[Male%(18-19)]]</f>
        <v>0</v>
      </c>
      <c r="DQ78" s="1">
        <f>$AF78*Table1[[#This Row],[Total% (20-24)]]</f>
        <v>0</v>
      </c>
      <c r="DR78" s="1">
        <f>$CT78*Table1[[#This Row],[Female% (20-24)]]</f>
        <v>0</v>
      </c>
      <c r="DS78" s="1">
        <f>$CU78*Table1[[#This Row],[Male% (20-24)]]</f>
        <v>0</v>
      </c>
      <c r="DT78" s="1">
        <f>$AF78*Table1[[#This Row],[Total% (25-29)]]</f>
        <v>0</v>
      </c>
      <c r="DU78" s="1">
        <f>$CT78*Table1[[#This Row],[Female% (25-29)]]</f>
        <v>0</v>
      </c>
      <c r="DV78" s="1">
        <f>$CU78*Table1[[#This Row],[Male% (25-29)]]</f>
        <v>0</v>
      </c>
      <c r="DW78" s="1">
        <f>$AF78*Table1[[#This Row],[Total%   (30-34)]]</f>
        <v>0</v>
      </c>
      <c r="DX78" s="1">
        <f>$CT78*Table1[[#This Row],[Female%   (30-34)]]</f>
        <v>0</v>
      </c>
      <c r="DY78" s="1">
        <f>$CU78*Table1[[#This Row],[Male%  (30-34)]]</f>
        <v>0</v>
      </c>
      <c r="DZ78" s="1">
        <f>$AF78*Table1[[#This Row],[Total% (35-39)]]</f>
        <v>0</v>
      </c>
      <c r="EA78" s="1">
        <f>$CT78*Table1[[#This Row],[Female% (35-39)]]</f>
        <v>0</v>
      </c>
      <c r="EB78" s="1">
        <f>$CU78*Table1[[#This Row],[Male% (35-39)]]</f>
        <v>0</v>
      </c>
      <c r="EC78" s="1">
        <f>$AF78*Table1[[#This Row],[Total% (40-44)]]</f>
        <v>0</v>
      </c>
      <c r="ED78" s="1">
        <f>$CT78*Table1[[#This Row],[Female% (40-44)]]</f>
        <v>0</v>
      </c>
      <c r="EE78" s="1">
        <f>$CU78*Table1[[#This Row],[Male%(55-59)]]</f>
        <v>0</v>
      </c>
      <c r="EF78" s="1">
        <f>$AF78*Table1[[#This Row],[Total% (45-49)]]</f>
        <v>0</v>
      </c>
      <c r="EG78" s="1">
        <f>$CT78*Table1[[#This Row],[Female% (45-49)]]</f>
        <v>0</v>
      </c>
      <c r="EH78" s="1">
        <f>$CU78*Table1[[#This Row],[Male% (45-49)]]</f>
        <v>0</v>
      </c>
      <c r="EI78" s="1">
        <f>$AF78*Table1[[#This Row],[Total% (50-54)]]</f>
        <v>0</v>
      </c>
      <c r="EJ78" s="1">
        <f>$CT78*Table1[[#This Row],[Female%(50-54)]]</f>
        <v>0</v>
      </c>
      <c r="EK78" s="1">
        <f>$CU78*Table1[[#This Row],[Male% (50-54)]]</f>
        <v>0</v>
      </c>
      <c r="EL78" s="1">
        <f>$AF78*Table1[[#This Row],[Total% (55-59)]]</f>
        <v>0</v>
      </c>
      <c r="EM78" s="1">
        <f>$CT78*Table1[[#This Row],[Female% (55-59)]]</f>
        <v>0</v>
      </c>
      <c r="EN78" s="1">
        <f>$CU78*Table1[[#This Row],[Male% (55-59)]]</f>
        <v>0</v>
      </c>
      <c r="EO78" s="1">
        <f>$AF78*Table1[[#This Row],[Total% (60-64)]]</f>
        <v>0</v>
      </c>
      <c r="EP78" s="1">
        <f>$CT78*Table1[[#This Row],[Female%(60-64)]]</f>
        <v>0</v>
      </c>
      <c r="EQ78" s="1">
        <f>$CU78*Table1[[#This Row],[Male%(60-64)]]</f>
        <v>0</v>
      </c>
      <c r="ER78" s="1">
        <f>$AF78*Table1[[#This Row],[Total% (&gt;=65)]]</f>
        <v>0</v>
      </c>
      <c r="ES78" s="1">
        <f>$CT78*Table1[[#This Row],[Female%(&gt;=65)]]</f>
        <v>0</v>
      </c>
      <c r="ET78" s="1">
        <f>$CU78*Table1[[#This Row],[Male% (&gt;=65)]]</f>
        <v>0</v>
      </c>
    </row>
    <row r="79" spans="1:150" hidden="1" x14ac:dyDescent="0.35">
      <c r="A79" t="s">
        <v>104</v>
      </c>
      <c r="B79" t="s">
        <v>105</v>
      </c>
      <c r="C79" t="s">
        <v>173</v>
      </c>
      <c r="D79" t="s">
        <v>174</v>
      </c>
      <c r="E79" t="s">
        <v>622</v>
      </c>
      <c r="F79" t="s">
        <v>623</v>
      </c>
      <c r="H79">
        <v>3</v>
      </c>
      <c r="I79" s="1">
        <v>0</v>
      </c>
      <c r="J79" s="1">
        <v>0</v>
      </c>
      <c r="K79" s="1">
        <v>386</v>
      </c>
      <c r="L79" s="1">
        <v>0</v>
      </c>
      <c r="M79" s="1">
        <v>0</v>
      </c>
      <c r="N79" s="1">
        <v>386</v>
      </c>
      <c r="O79" s="3">
        <v>1</v>
      </c>
      <c r="P79" s="3">
        <v>0</v>
      </c>
      <c r="Q79" s="3">
        <v>0</v>
      </c>
      <c r="R79" s="3">
        <v>0</v>
      </c>
      <c r="S79" s="3">
        <v>0</v>
      </c>
      <c r="T79" s="1">
        <v>386</v>
      </c>
      <c r="U79" s="1">
        <v>0</v>
      </c>
      <c r="V79" s="10">
        <f>Table1[[#This Row],[Pop NW+RATAA]]*Table1[[#This Row],[Perc_pop_Northern_Aleppo]]</f>
        <v>0</v>
      </c>
      <c r="W79" s="10">
        <f>Table1[[#This Row],[Pop NW+RATAA]]*Table1[[#This Row],[Perc_pop_Afrin District]]</f>
        <v>0</v>
      </c>
      <c r="X79" s="10">
        <f>Table1[[#This Row],[Pop NW+RATAA]]*Table1[[#This Row],[Perc_pop_Euphrates Shiled]]</f>
        <v>0</v>
      </c>
      <c r="Y79" s="10">
        <f>Table1[[#This Row],[Pop NW+RATAA]]*Table1[[#This Row],[Perc_Pop_Idleb_NSAG]]</f>
        <v>0</v>
      </c>
      <c r="Z79" s="3">
        <v>0</v>
      </c>
      <c r="AA79" s="3">
        <v>0</v>
      </c>
      <c r="AB79" s="3">
        <v>0</v>
      </c>
      <c r="AC79" s="3">
        <v>0</v>
      </c>
      <c r="AD79" s="1">
        <v>386</v>
      </c>
      <c r="AE79" s="1">
        <v>0</v>
      </c>
      <c r="AF79" s="1">
        <v>0</v>
      </c>
      <c r="AG79" s="1">
        <v>0</v>
      </c>
      <c r="AH79" s="1">
        <v>0</v>
      </c>
      <c r="AI79" s="1">
        <f>Table1[[#This Row],[NWS_pin]]*Table1[[#This Row],[Perc_pop_Northern_Aleppo]]</f>
        <v>0</v>
      </c>
      <c r="AJ79" s="1">
        <f>Table1[[#This Row],[NWS_pin]]*Table1[[#This Row],[Perc_pop_Afrin District]]</f>
        <v>0</v>
      </c>
      <c r="AK79" s="1">
        <f>Table1[[#This Row],[NWS_pin]]*Table1[[#This Row],[Perc_pop_Euphrates Shiled]]</f>
        <v>0</v>
      </c>
      <c r="AL79" s="1">
        <f>Table1[[#This Row],[NWS_pin]]*Table1[[#This Row],[Perc_Pop_Idleb_NSAG]]</f>
        <v>0</v>
      </c>
      <c r="AM79" s="4">
        <v>0.467391304347826</v>
      </c>
      <c r="AN79" s="4">
        <v>0.53260869565217395</v>
      </c>
      <c r="AO79" s="4">
        <v>0.15350877192982501</v>
      </c>
      <c r="AP79" s="4">
        <v>0.43880597014925399</v>
      </c>
      <c r="AQ79" s="4">
        <v>0.56119402985074596</v>
      </c>
      <c r="AR79" s="4">
        <v>0</v>
      </c>
      <c r="AS79" s="4">
        <v>0</v>
      </c>
      <c r="AT79" s="4">
        <v>0</v>
      </c>
      <c r="AU79" s="4">
        <v>8.1521739130434798E-3</v>
      </c>
      <c r="AV79" s="4">
        <v>0</v>
      </c>
      <c r="AW79" s="4">
        <v>1.53061224489796E-2</v>
      </c>
      <c r="AX79" s="4">
        <v>4.3478260869565202E-2</v>
      </c>
      <c r="AY79" s="4">
        <v>2.32558139534884E-2</v>
      </c>
      <c r="AZ79" s="4">
        <v>6.1224489795918401E-2</v>
      </c>
      <c r="BA79" s="4">
        <v>8.1521739130434798E-2</v>
      </c>
      <c r="BB79" s="4">
        <v>6.3953488372092998E-2</v>
      </c>
      <c r="BC79" s="4">
        <v>9.6938775510204106E-2</v>
      </c>
      <c r="BD79" s="4">
        <v>0.119565217391304</v>
      </c>
      <c r="BE79" s="4">
        <v>0.127906976744186</v>
      </c>
      <c r="BF79" s="4">
        <v>0.11224489795918401</v>
      </c>
      <c r="BG79" s="4">
        <v>0.13315217391304299</v>
      </c>
      <c r="BH79" s="4">
        <v>0.122093023255814</v>
      </c>
      <c r="BI79" s="4">
        <v>0.14285714285714299</v>
      </c>
      <c r="BJ79" s="4">
        <v>7.3369565217391297E-2</v>
      </c>
      <c r="BK79" s="4">
        <v>6.9767441860465101E-2</v>
      </c>
      <c r="BL79" s="4">
        <v>7.6530612244898003E-2</v>
      </c>
      <c r="BM79" s="4">
        <v>2.1739130434782601E-2</v>
      </c>
      <c r="BN79" s="4">
        <v>4.0697674418604599E-2</v>
      </c>
      <c r="BO79" s="4">
        <v>5.1020408163265302E-3</v>
      </c>
      <c r="BP79" s="4">
        <v>2.7173913043478298E-2</v>
      </c>
      <c r="BQ79" s="4">
        <v>5.2325581395348798E-2</v>
      </c>
      <c r="BR79" s="4">
        <v>5.1020408163265302E-3</v>
      </c>
      <c r="BS79" s="4">
        <v>9.2391304347826095E-2</v>
      </c>
      <c r="BT79" s="4">
        <v>0.13372093023255799</v>
      </c>
      <c r="BU79" s="4">
        <v>5.6122448979591802E-2</v>
      </c>
      <c r="BV79" s="4">
        <v>0.122282608695652</v>
      </c>
      <c r="BW79" s="4">
        <v>0.13372093023255799</v>
      </c>
      <c r="BX79" s="4">
        <v>0.11224489795918401</v>
      </c>
      <c r="BY79" s="4">
        <v>0.122282608695652</v>
      </c>
      <c r="BZ79" s="4">
        <v>0.145348837209302</v>
      </c>
      <c r="CA79" s="4">
        <v>0.102040816326531</v>
      </c>
      <c r="CB79" s="4">
        <v>0.10597826086956499</v>
      </c>
      <c r="CC79" s="4">
        <v>8.7209302325581398E-2</v>
      </c>
      <c r="CD79" s="4">
        <v>0.122448979591837</v>
      </c>
      <c r="CE79" s="4">
        <v>3.2608695652173898E-2</v>
      </c>
      <c r="CF79" s="4">
        <v>0</v>
      </c>
      <c r="CG79" s="4">
        <v>6.1224489795918401E-2</v>
      </c>
      <c r="CH79" s="4">
        <v>1.6304347826087001E-2</v>
      </c>
      <c r="CI79" s="4">
        <v>0</v>
      </c>
      <c r="CJ79" s="4">
        <v>3.06122448979592E-2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1">
        <f>Table1[[#This Row],[Female %]]*Table1[[#This Row],[NWS_pin]]</f>
        <v>0</v>
      </c>
      <c r="CU79" s="1">
        <f>Table1[[#This Row],[Male %]]*Table1[[#This Row],[NWS_pin]]</f>
        <v>0</v>
      </c>
      <c r="CV79" s="1">
        <f>Table1[[#This Row],[Female% (0-2)22]]+Table1[[#This Row],[Male%(0-2)3]]</f>
        <v>0</v>
      </c>
      <c r="CW79" s="1">
        <f>$CT79*Table1[[#This Row],[Female% (0-2)]]</f>
        <v>0</v>
      </c>
      <c r="CX79" s="1">
        <f>$CU79*Table1[[#This Row],[Male%(0-2)]]</f>
        <v>0</v>
      </c>
      <c r="CY79" s="1">
        <f>Table1[[#This Row],[Female%  (3-5)5]]+Table1[[#This Row],[Male% (3-5)6]]</f>
        <v>0</v>
      </c>
      <c r="CZ79" s="1">
        <f>$AF79*Table1[[#This Row],[Female%  (3-5)]]</f>
        <v>0</v>
      </c>
      <c r="DA79" s="1">
        <f>$CU79*Table1[[#This Row],[Male% (3-5)]]</f>
        <v>0</v>
      </c>
      <c r="DB79" s="1">
        <f>Table1[[#This Row],[Female% (6-8)8]]+Table1[[#This Row],[Male%(6-8)9]]</f>
        <v>0</v>
      </c>
      <c r="DC79" s="1">
        <f>$CT79*Table1[[#This Row],[Female% (6-8)]]</f>
        <v>0</v>
      </c>
      <c r="DD79" s="1">
        <f>$CU79*Table1[[#This Row],[Male%(6-8)]]</f>
        <v>0</v>
      </c>
      <c r="DE79" s="1">
        <f>Table1[[#This Row],[Female% (9 - 11)11]]+Table1[[#This Row],[Male% (9 - 11)12]]</f>
        <v>0</v>
      </c>
      <c r="DF79" s="1">
        <f>$CT79*Table1[[#This Row],[Female% (9 - 11)]]</f>
        <v>0</v>
      </c>
      <c r="DG79" s="1">
        <f>$CU79*Table1[[#This Row],[Male% (9 - 11)]]</f>
        <v>0</v>
      </c>
      <c r="DH79" s="1">
        <f>Table1[[#This Row],[Female% (12-14)14]]+Table1[[#This Row],[Male%(12-14)15]]</f>
        <v>0</v>
      </c>
      <c r="DI79" s="1">
        <f>$CT79*Table1[[#This Row],[Female% (12-14)]]</f>
        <v>0</v>
      </c>
      <c r="DJ79" s="1">
        <f>$CU79*Table1[[#This Row],[Male%(12-14)]]</f>
        <v>0</v>
      </c>
      <c r="DK79" s="1">
        <f>Table1[[#This Row],[Female% (15-17)17]]+Table1[[#This Row],[Male%(15-17)18]]</f>
        <v>0</v>
      </c>
      <c r="DL79" s="1">
        <f>$CT79*Table1[[#This Row],[Female% (15-17)]]</f>
        <v>0</v>
      </c>
      <c r="DM79" s="1">
        <f>$CU79*Table1[[#This Row],[Male%(15-17)]]</f>
        <v>0</v>
      </c>
      <c r="DN79" s="1">
        <f>$AF79*Table1[[#This Row],[Total% (18-19)]]</f>
        <v>0</v>
      </c>
      <c r="DO79" s="1">
        <f>$CT79*Table1[[#This Row],[Female% (18-19)]]</f>
        <v>0</v>
      </c>
      <c r="DP79" s="1">
        <f>$CU79*Table1[[#This Row],[Male%(18-19)]]</f>
        <v>0</v>
      </c>
      <c r="DQ79" s="1">
        <f>$AF79*Table1[[#This Row],[Total% (20-24)]]</f>
        <v>0</v>
      </c>
      <c r="DR79" s="1">
        <f>$CT79*Table1[[#This Row],[Female% (20-24)]]</f>
        <v>0</v>
      </c>
      <c r="DS79" s="1">
        <f>$CU79*Table1[[#This Row],[Male% (20-24)]]</f>
        <v>0</v>
      </c>
      <c r="DT79" s="1">
        <f>$AF79*Table1[[#This Row],[Total% (25-29)]]</f>
        <v>0</v>
      </c>
      <c r="DU79" s="1">
        <f>$CT79*Table1[[#This Row],[Female% (25-29)]]</f>
        <v>0</v>
      </c>
      <c r="DV79" s="1">
        <f>$CU79*Table1[[#This Row],[Male% (25-29)]]</f>
        <v>0</v>
      </c>
      <c r="DW79" s="1">
        <f>$AF79*Table1[[#This Row],[Total%   (30-34)]]</f>
        <v>0</v>
      </c>
      <c r="DX79" s="1">
        <f>$CT79*Table1[[#This Row],[Female%   (30-34)]]</f>
        <v>0</v>
      </c>
      <c r="DY79" s="1">
        <f>$CU79*Table1[[#This Row],[Male%  (30-34)]]</f>
        <v>0</v>
      </c>
      <c r="DZ79" s="1">
        <f>$AF79*Table1[[#This Row],[Total% (35-39)]]</f>
        <v>0</v>
      </c>
      <c r="EA79" s="1">
        <f>$CT79*Table1[[#This Row],[Female% (35-39)]]</f>
        <v>0</v>
      </c>
      <c r="EB79" s="1">
        <f>$CU79*Table1[[#This Row],[Male% (35-39)]]</f>
        <v>0</v>
      </c>
      <c r="EC79" s="1">
        <f>$AF79*Table1[[#This Row],[Total% (40-44)]]</f>
        <v>0</v>
      </c>
      <c r="ED79" s="1">
        <f>$CT79*Table1[[#This Row],[Female% (40-44)]]</f>
        <v>0</v>
      </c>
      <c r="EE79" s="1">
        <f>$CU79*Table1[[#This Row],[Male%(55-59)]]</f>
        <v>0</v>
      </c>
      <c r="EF79" s="1">
        <f>$AF79*Table1[[#This Row],[Total% (45-49)]]</f>
        <v>0</v>
      </c>
      <c r="EG79" s="1">
        <f>$CT79*Table1[[#This Row],[Female% (45-49)]]</f>
        <v>0</v>
      </c>
      <c r="EH79" s="1">
        <f>$CU79*Table1[[#This Row],[Male% (45-49)]]</f>
        <v>0</v>
      </c>
      <c r="EI79" s="1">
        <f>$AF79*Table1[[#This Row],[Total% (50-54)]]</f>
        <v>0</v>
      </c>
      <c r="EJ79" s="1">
        <f>$CT79*Table1[[#This Row],[Female%(50-54)]]</f>
        <v>0</v>
      </c>
      <c r="EK79" s="1">
        <f>$CU79*Table1[[#This Row],[Male% (50-54)]]</f>
        <v>0</v>
      </c>
      <c r="EL79" s="1">
        <f>$AF79*Table1[[#This Row],[Total% (55-59)]]</f>
        <v>0</v>
      </c>
      <c r="EM79" s="1">
        <f>$CT79*Table1[[#This Row],[Female% (55-59)]]</f>
        <v>0</v>
      </c>
      <c r="EN79" s="1">
        <f>$CU79*Table1[[#This Row],[Male% (55-59)]]</f>
        <v>0</v>
      </c>
      <c r="EO79" s="1">
        <f>$AF79*Table1[[#This Row],[Total% (60-64)]]</f>
        <v>0</v>
      </c>
      <c r="EP79" s="1">
        <f>$CT79*Table1[[#This Row],[Female%(60-64)]]</f>
        <v>0</v>
      </c>
      <c r="EQ79" s="1">
        <f>$CU79*Table1[[#This Row],[Male%(60-64)]]</f>
        <v>0</v>
      </c>
      <c r="ER79" s="1">
        <f>$AF79*Table1[[#This Row],[Total% (&gt;=65)]]</f>
        <v>0</v>
      </c>
      <c r="ES79" s="1">
        <f>$CT79*Table1[[#This Row],[Female%(&gt;=65)]]</f>
        <v>0</v>
      </c>
      <c r="ET79" s="1">
        <f>$CU79*Table1[[#This Row],[Male% (&gt;=65)]]</f>
        <v>0</v>
      </c>
    </row>
    <row r="80" spans="1:150" hidden="1" x14ac:dyDescent="0.35">
      <c r="A80" t="s">
        <v>17</v>
      </c>
      <c r="B80" t="s">
        <v>18</v>
      </c>
      <c r="C80" t="s">
        <v>17</v>
      </c>
      <c r="D80" t="s">
        <v>19</v>
      </c>
      <c r="E80" t="s">
        <v>17</v>
      </c>
      <c r="F80" t="s">
        <v>167</v>
      </c>
      <c r="H80">
        <v>3</v>
      </c>
      <c r="I80" s="1">
        <v>0</v>
      </c>
      <c r="J80" s="1">
        <v>361967</v>
      </c>
      <c r="K80" s="1">
        <v>273063</v>
      </c>
      <c r="L80" s="1">
        <v>0</v>
      </c>
      <c r="M80" s="1">
        <v>0</v>
      </c>
      <c r="N80" s="1">
        <v>273063</v>
      </c>
      <c r="O80" s="3">
        <v>1</v>
      </c>
      <c r="P80" s="3">
        <v>0</v>
      </c>
      <c r="Q80" s="3">
        <v>0</v>
      </c>
      <c r="R80" s="3">
        <v>0</v>
      </c>
      <c r="S80" s="3">
        <v>0</v>
      </c>
      <c r="T80" s="1">
        <v>635030</v>
      </c>
      <c r="U80" s="1">
        <v>0</v>
      </c>
      <c r="V80" s="10">
        <f>Table1[[#This Row],[Pop NW+RATAA]]*Table1[[#This Row],[Perc_pop_Northern_Aleppo]]</f>
        <v>0</v>
      </c>
      <c r="W80" s="10">
        <f>Table1[[#This Row],[Pop NW+RATAA]]*Table1[[#This Row],[Perc_pop_Afrin District]]</f>
        <v>0</v>
      </c>
      <c r="X80" s="10">
        <f>Table1[[#This Row],[Pop NW+RATAA]]*Table1[[#This Row],[Perc_pop_Euphrates Shiled]]</f>
        <v>0</v>
      </c>
      <c r="Y80" s="10">
        <f>Table1[[#This Row],[Pop NW+RATAA]]*Table1[[#This Row],[Perc_Pop_Idleb_NSAG]]</f>
        <v>0</v>
      </c>
      <c r="Z80" s="3">
        <v>0</v>
      </c>
      <c r="AA80" s="3">
        <v>0</v>
      </c>
      <c r="AB80" s="3">
        <v>0</v>
      </c>
      <c r="AC80" s="3">
        <v>0</v>
      </c>
      <c r="AD80" s="1">
        <v>273063</v>
      </c>
      <c r="AE80" s="1">
        <v>0</v>
      </c>
      <c r="AF80" s="1">
        <v>0</v>
      </c>
      <c r="AG80" s="1">
        <v>0</v>
      </c>
      <c r="AH80" s="1">
        <v>0</v>
      </c>
      <c r="AI80" s="1">
        <f>Table1[[#This Row],[NWS_pin]]*Table1[[#This Row],[Perc_pop_Northern_Aleppo]]</f>
        <v>0</v>
      </c>
      <c r="AJ80" s="1">
        <f>Table1[[#This Row],[NWS_pin]]*Table1[[#This Row],[Perc_pop_Afrin District]]</f>
        <v>0</v>
      </c>
      <c r="AK80" s="1">
        <f>Table1[[#This Row],[NWS_pin]]*Table1[[#This Row],[Perc_pop_Euphrates Shiled]]</f>
        <v>0</v>
      </c>
      <c r="AL80" s="1">
        <f>Table1[[#This Row],[NWS_pin]]*Table1[[#This Row],[Perc_Pop_Idleb_NSAG]]</f>
        <v>0</v>
      </c>
      <c r="AM80" s="4">
        <v>0.53012537397292603</v>
      </c>
      <c r="AN80" s="4">
        <v>0.46987462602707403</v>
      </c>
      <c r="AO80" s="4">
        <v>0.14784654304155601</v>
      </c>
      <c r="AP80" s="4">
        <v>0.44470766841465698</v>
      </c>
      <c r="AQ80" s="4">
        <v>0.51829621060293196</v>
      </c>
      <c r="AR80" s="4">
        <v>2.5291058369207001E-3</v>
      </c>
      <c r="AS80" s="4">
        <v>0</v>
      </c>
      <c r="AT80" s="4">
        <v>3.44670151454897E-2</v>
      </c>
      <c r="AU80" s="4">
        <v>1.04481054799903E-2</v>
      </c>
      <c r="AV80" s="4">
        <v>1.33256253496361E-2</v>
      </c>
      <c r="AW80" s="4">
        <v>7.2016090477214504E-3</v>
      </c>
      <c r="AX80" s="4">
        <v>3.1732623424696099E-2</v>
      </c>
      <c r="AY80" s="4">
        <v>4.0107118504547797E-2</v>
      </c>
      <c r="AZ80" s="4">
        <v>2.22842895710927E-2</v>
      </c>
      <c r="BA80" s="4">
        <v>5.4757408946661097E-2</v>
      </c>
      <c r="BB80" s="4">
        <v>3.9099907188920903E-2</v>
      </c>
      <c r="BC80" s="4">
        <v>7.2422629656675494E-2</v>
      </c>
      <c r="BD80" s="4">
        <v>6.3430663526226699E-2</v>
      </c>
      <c r="BE80" s="4">
        <v>7.4047074520799797E-2</v>
      </c>
      <c r="BF80" s="4">
        <v>5.14529389652413E-2</v>
      </c>
      <c r="BG80" s="4">
        <v>8.8467998792660499E-2</v>
      </c>
      <c r="BH80" s="4">
        <v>7.1517749875397593E-2</v>
      </c>
      <c r="BI80" s="4">
        <v>0.107591732121645</v>
      </c>
      <c r="BJ80" s="4">
        <v>9.3781658494210898E-2</v>
      </c>
      <c r="BK80" s="4">
        <v>8.4735644697633103E-2</v>
      </c>
      <c r="BL80" s="4">
        <v>0.103987618086927</v>
      </c>
      <c r="BM80" s="4">
        <v>5.15490560323058E-2</v>
      </c>
      <c r="BN80" s="4">
        <v>3.76342083204615E-2</v>
      </c>
      <c r="BO80" s="4">
        <v>6.7248166898089698E-2</v>
      </c>
      <c r="BP80" s="4">
        <v>6.7292885736580405E-2</v>
      </c>
      <c r="BQ80" s="4">
        <v>7.6309602298010495E-2</v>
      </c>
      <c r="BR80" s="4">
        <v>5.7119980083955101E-2</v>
      </c>
      <c r="BS80" s="4">
        <v>2.285736489368E-2</v>
      </c>
      <c r="BT80" s="4">
        <v>4.0116893420756701E-2</v>
      </c>
      <c r="BU80" s="4">
        <v>3.3846938699722902E-3</v>
      </c>
      <c r="BV80" s="4">
        <v>3.8506768297713302E-2</v>
      </c>
      <c r="BW80" s="4">
        <v>6.4360067930228207E-2</v>
      </c>
      <c r="BX80" s="4">
        <v>9.3383702252211893E-3</v>
      </c>
      <c r="BY80" s="4">
        <v>4.3741541782237901E-2</v>
      </c>
      <c r="BZ80" s="4">
        <v>4.71264957078164E-2</v>
      </c>
      <c r="CA80" s="4">
        <v>3.9922544402339E-2</v>
      </c>
      <c r="CB80" s="4">
        <v>7.8641748838120196E-2</v>
      </c>
      <c r="CC80" s="4">
        <v>0.100402277206847</v>
      </c>
      <c r="CD80" s="4">
        <v>5.4090926979833601E-2</v>
      </c>
      <c r="CE80" s="4">
        <v>0.11543955051619301</v>
      </c>
      <c r="CF80" s="4">
        <v>0.124237903235557</v>
      </c>
      <c r="CG80" s="4">
        <v>0.105513008908411</v>
      </c>
      <c r="CH80" s="4">
        <v>7.8257297134006407E-2</v>
      </c>
      <c r="CI80" s="4">
        <v>8.4627601803764094E-2</v>
      </c>
      <c r="CJ80" s="4">
        <v>7.1070145586942204E-2</v>
      </c>
      <c r="CK80" s="4">
        <v>7.0074890867245998E-2</v>
      </c>
      <c r="CL80" s="4">
        <v>3.0539918816277999E-2</v>
      </c>
      <c r="CM80" s="4">
        <v>0.11467932507715201</v>
      </c>
      <c r="CN80" s="4">
        <v>3.9235324019737998E-2</v>
      </c>
      <c r="CO80" s="4">
        <v>3.35256378001327E-2</v>
      </c>
      <c r="CP80" s="4">
        <v>4.5677147805859797E-2</v>
      </c>
      <c r="CQ80" s="4">
        <v>5.1785113217733499E-2</v>
      </c>
      <c r="CR80" s="4">
        <v>3.8286273323212598E-2</v>
      </c>
      <c r="CS80" s="4">
        <v>6.70148727129211E-2</v>
      </c>
      <c r="CT80" s="1">
        <f>Table1[[#This Row],[Female %]]*Table1[[#This Row],[NWS_pin]]</f>
        <v>0</v>
      </c>
      <c r="CU80" s="1">
        <f>Table1[[#This Row],[Male %]]*Table1[[#This Row],[NWS_pin]]</f>
        <v>0</v>
      </c>
      <c r="CV80" s="1">
        <f>Table1[[#This Row],[Female% (0-2)22]]+Table1[[#This Row],[Male%(0-2)3]]</f>
        <v>0</v>
      </c>
      <c r="CW80" s="1">
        <f>$CT80*Table1[[#This Row],[Female% (0-2)]]</f>
        <v>0</v>
      </c>
      <c r="CX80" s="1">
        <f>$CU80*Table1[[#This Row],[Male%(0-2)]]</f>
        <v>0</v>
      </c>
      <c r="CY80" s="1">
        <f>Table1[[#This Row],[Female%  (3-5)5]]+Table1[[#This Row],[Male% (3-5)6]]</f>
        <v>0</v>
      </c>
      <c r="CZ80" s="1">
        <f>$AF80*Table1[[#This Row],[Female%  (3-5)]]</f>
        <v>0</v>
      </c>
      <c r="DA80" s="1">
        <f>$CU80*Table1[[#This Row],[Male% (3-5)]]</f>
        <v>0</v>
      </c>
      <c r="DB80" s="1">
        <f>Table1[[#This Row],[Female% (6-8)8]]+Table1[[#This Row],[Male%(6-8)9]]</f>
        <v>0</v>
      </c>
      <c r="DC80" s="1">
        <f>$CT80*Table1[[#This Row],[Female% (6-8)]]</f>
        <v>0</v>
      </c>
      <c r="DD80" s="1">
        <f>$CU80*Table1[[#This Row],[Male%(6-8)]]</f>
        <v>0</v>
      </c>
      <c r="DE80" s="1">
        <f>Table1[[#This Row],[Female% (9 - 11)11]]+Table1[[#This Row],[Male% (9 - 11)12]]</f>
        <v>0</v>
      </c>
      <c r="DF80" s="1">
        <f>$CT80*Table1[[#This Row],[Female% (9 - 11)]]</f>
        <v>0</v>
      </c>
      <c r="DG80" s="1">
        <f>$CU80*Table1[[#This Row],[Male% (9 - 11)]]</f>
        <v>0</v>
      </c>
      <c r="DH80" s="1">
        <f>Table1[[#This Row],[Female% (12-14)14]]+Table1[[#This Row],[Male%(12-14)15]]</f>
        <v>0</v>
      </c>
      <c r="DI80" s="1">
        <f>$CT80*Table1[[#This Row],[Female% (12-14)]]</f>
        <v>0</v>
      </c>
      <c r="DJ80" s="1">
        <f>$CU80*Table1[[#This Row],[Male%(12-14)]]</f>
        <v>0</v>
      </c>
      <c r="DK80" s="1">
        <f>Table1[[#This Row],[Female% (15-17)17]]+Table1[[#This Row],[Male%(15-17)18]]</f>
        <v>0</v>
      </c>
      <c r="DL80" s="1">
        <f>$CT80*Table1[[#This Row],[Female% (15-17)]]</f>
        <v>0</v>
      </c>
      <c r="DM80" s="1">
        <f>$CU80*Table1[[#This Row],[Male%(15-17)]]</f>
        <v>0</v>
      </c>
      <c r="DN80" s="1">
        <f>$AF80*Table1[[#This Row],[Total% (18-19)]]</f>
        <v>0</v>
      </c>
      <c r="DO80" s="1">
        <f>$CT80*Table1[[#This Row],[Female% (18-19)]]</f>
        <v>0</v>
      </c>
      <c r="DP80" s="1">
        <f>$CU80*Table1[[#This Row],[Male%(18-19)]]</f>
        <v>0</v>
      </c>
      <c r="DQ80" s="1">
        <f>$AF80*Table1[[#This Row],[Total% (20-24)]]</f>
        <v>0</v>
      </c>
      <c r="DR80" s="1">
        <f>$CT80*Table1[[#This Row],[Female% (20-24)]]</f>
        <v>0</v>
      </c>
      <c r="DS80" s="1">
        <f>$CU80*Table1[[#This Row],[Male% (20-24)]]</f>
        <v>0</v>
      </c>
      <c r="DT80" s="1">
        <f>$AF80*Table1[[#This Row],[Total% (25-29)]]</f>
        <v>0</v>
      </c>
      <c r="DU80" s="1">
        <f>$CT80*Table1[[#This Row],[Female% (25-29)]]</f>
        <v>0</v>
      </c>
      <c r="DV80" s="1">
        <f>$CU80*Table1[[#This Row],[Male% (25-29)]]</f>
        <v>0</v>
      </c>
      <c r="DW80" s="1">
        <f>$AF80*Table1[[#This Row],[Total%   (30-34)]]</f>
        <v>0</v>
      </c>
      <c r="DX80" s="1">
        <f>$CT80*Table1[[#This Row],[Female%   (30-34)]]</f>
        <v>0</v>
      </c>
      <c r="DY80" s="1">
        <f>$CU80*Table1[[#This Row],[Male%  (30-34)]]</f>
        <v>0</v>
      </c>
      <c r="DZ80" s="1">
        <f>$AF80*Table1[[#This Row],[Total% (35-39)]]</f>
        <v>0</v>
      </c>
      <c r="EA80" s="1">
        <f>$CT80*Table1[[#This Row],[Female% (35-39)]]</f>
        <v>0</v>
      </c>
      <c r="EB80" s="1">
        <f>$CU80*Table1[[#This Row],[Male% (35-39)]]</f>
        <v>0</v>
      </c>
      <c r="EC80" s="1">
        <f>$AF80*Table1[[#This Row],[Total% (40-44)]]</f>
        <v>0</v>
      </c>
      <c r="ED80" s="1">
        <f>$CT80*Table1[[#This Row],[Female% (40-44)]]</f>
        <v>0</v>
      </c>
      <c r="EE80" s="1">
        <f>$CU80*Table1[[#This Row],[Male%(55-59)]]</f>
        <v>0</v>
      </c>
      <c r="EF80" s="1">
        <f>$AF80*Table1[[#This Row],[Total% (45-49)]]</f>
        <v>0</v>
      </c>
      <c r="EG80" s="1">
        <f>$CT80*Table1[[#This Row],[Female% (45-49)]]</f>
        <v>0</v>
      </c>
      <c r="EH80" s="1">
        <f>$CU80*Table1[[#This Row],[Male% (45-49)]]</f>
        <v>0</v>
      </c>
      <c r="EI80" s="1">
        <f>$AF80*Table1[[#This Row],[Total% (50-54)]]</f>
        <v>0</v>
      </c>
      <c r="EJ80" s="1">
        <f>$CT80*Table1[[#This Row],[Female%(50-54)]]</f>
        <v>0</v>
      </c>
      <c r="EK80" s="1">
        <f>$CU80*Table1[[#This Row],[Male% (50-54)]]</f>
        <v>0</v>
      </c>
      <c r="EL80" s="1">
        <f>$AF80*Table1[[#This Row],[Total% (55-59)]]</f>
        <v>0</v>
      </c>
      <c r="EM80" s="1">
        <f>$CT80*Table1[[#This Row],[Female% (55-59)]]</f>
        <v>0</v>
      </c>
      <c r="EN80" s="1">
        <f>$CU80*Table1[[#This Row],[Male% (55-59)]]</f>
        <v>0</v>
      </c>
      <c r="EO80" s="1">
        <f>$AF80*Table1[[#This Row],[Total% (60-64)]]</f>
        <v>0</v>
      </c>
      <c r="EP80" s="1">
        <f>$CT80*Table1[[#This Row],[Female%(60-64)]]</f>
        <v>0</v>
      </c>
      <c r="EQ80" s="1">
        <f>$CU80*Table1[[#This Row],[Male%(60-64)]]</f>
        <v>0</v>
      </c>
      <c r="ER80" s="1">
        <f>$AF80*Table1[[#This Row],[Total% (&gt;=65)]]</f>
        <v>0</v>
      </c>
      <c r="ES80" s="1">
        <f>$CT80*Table1[[#This Row],[Female%(&gt;=65)]]</f>
        <v>0</v>
      </c>
      <c r="ET80" s="1">
        <f>$CU80*Table1[[#This Row],[Male% (&gt;=65)]]</f>
        <v>0</v>
      </c>
    </row>
    <row r="81" spans="1:150" hidden="1" x14ac:dyDescent="0.35">
      <c r="A81" t="s">
        <v>17</v>
      </c>
      <c r="B81" t="s">
        <v>18</v>
      </c>
      <c r="C81" t="s">
        <v>17</v>
      </c>
      <c r="D81" t="s">
        <v>19</v>
      </c>
      <c r="E81" t="s">
        <v>498</v>
      </c>
      <c r="F81" t="s">
        <v>499</v>
      </c>
      <c r="H81">
        <v>3</v>
      </c>
      <c r="I81" s="1">
        <v>0</v>
      </c>
      <c r="J81" s="1">
        <v>1327</v>
      </c>
      <c r="K81" s="1">
        <v>68547</v>
      </c>
      <c r="L81" s="1">
        <v>0</v>
      </c>
      <c r="M81" s="1">
        <v>0</v>
      </c>
      <c r="N81" s="1">
        <v>68547</v>
      </c>
      <c r="O81" s="3">
        <v>1</v>
      </c>
      <c r="P81" s="3">
        <v>0</v>
      </c>
      <c r="Q81" s="3">
        <v>0</v>
      </c>
      <c r="R81" s="3">
        <v>0</v>
      </c>
      <c r="S81" s="3">
        <v>0</v>
      </c>
      <c r="T81" s="1">
        <v>69874</v>
      </c>
      <c r="U81" s="1">
        <v>0</v>
      </c>
      <c r="V81" s="10">
        <f>Table1[[#This Row],[Pop NW+RATAA]]*Table1[[#This Row],[Perc_pop_Northern_Aleppo]]</f>
        <v>0</v>
      </c>
      <c r="W81" s="10">
        <f>Table1[[#This Row],[Pop NW+RATAA]]*Table1[[#This Row],[Perc_pop_Afrin District]]</f>
        <v>0</v>
      </c>
      <c r="X81" s="10">
        <f>Table1[[#This Row],[Pop NW+RATAA]]*Table1[[#This Row],[Perc_pop_Euphrates Shiled]]</f>
        <v>0</v>
      </c>
      <c r="Y81" s="10">
        <f>Table1[[#This Row],[Pop NW+RATAA]]*Table1[[#This Row],[Perc_Pop_Idleb_NSAG]]</f>
        <v>0</v>
      </c>
      <c r="Z81" s="3">
        <v>0</v>
      </c>
      <c r="AA81" s="3">
        <v>0</v>
      </c>
      <c r="AB81" s="3">
        <v>0</v>
      </c>
      <c r="AC81" s="3">
        <v>0</v>
      </c>
      <c r="AD81" s="1">
        <v>68547</v>
      </c>
      <c r="AE81" s="1">
        <v>0</v>
      </c>
      <c r="AF81" s="1">
        <v>0</v>
      </c>
      <c r="AG81" s="1">
        <v>0</v>
      </c>
      <c r="AH81" s="1">
        <v>0</v>
      </c>
      <c r="AI81" s="1">
        <f>Table1[[#This Row],[NWS_pin]]*Table1[[#This Row],[Perc_pop_Northern_Aleppo]]</f>
        <v>0</v>
      </c>
      <c r="AJ81" s="1">
        <f>Table1[[#This Row],[NWS_pin]]*Table1[[#This Row],[Perc_pop_Afrin District]]</f>
        <v>0</v>
      </c>
      <c r="AK81" s="1">
        <f>Table1[[#This Row],[NWS_pin]]*Table1[[#This Row],[Perc_pop_Euphrates Shiled]]</f>
        <v>0</v>
      </c>
      <c r="AL81" s="1">
        <f>Table1[[#This Row],[NWS_pin]]*Table1[[#This Row],[Perc_Pop_Idleb_NSAG]]</f>
        <v>0</v>
      </c>
      <c r="AM81" s="4">
        <v>0.55517519318921105</v>
      </c>
      <c r="AN81" s="4">
        <v>0.44482480681078901</v>
      </c>
      <c r="AO81" s="4">
        <v>0.24319988762466599</v>
      </c>
      <c r="AP81" s="4">
        <v>0.35613604843457702</v>
      </c>
      <c r="AQ81" s="4">
        <v>0.56201576084153204</v>
      </c>
      <c r="AR81" s="4">
        <v>2.4714210978956101E-2</v>
      </c>
      <c r="AS81" s="4">
        <v>0</v>
      </c>
      <c r="AT81" s="4">
        <v>5.7133979744934497E-2</v>
      </c>
      <c r="AU81" s="4">
        <v>7.0502529210931406E-2</v>
      </c>
      <c r="AV81" s="4">
        <v>4.5981326883594603E-2</v>
      </c>
      <c r="AW81" s="4">
        <v>0.10110685484851099</v>
      </c>
      <c r="AX81" s="4">
        <v>7.6042688812556006E-2</v>
      </c>
      <c r="AY81" s="4">
        <v>9.6902804887674096E-2</v>
      </c>
      <c r="AZ81" s="4">
        <v>5.0007677287492502E-2</v>
      </c>
      <c r="BA81" s="4">
        <v>0.10827984799245299</v>
      </c>
      <c r="BB81" s="4">
        <v>0.10651653760888</v>
      </c>
      <c r="BC81" s="4">
        <v>0.110480593472166</v>
      </c>
      <c r="BD81" s="4">
        <v>5.8394106082472502E-2</v>
      </c>
      <c r="BE81" s="4">
        <v>5.1039751883875398E-2</v>
      </c>
      <c r="BF81" s="4">
        <v>6.7572899509622197E-2</v>
      </c>
      <c r="BG81" s="4">
        <v>5.4199656223670997E-2</v>
      </c>
      <c r="BH81" s="4">
        <v>3.1678187253543703E-2</v>
      </c>
      <c r="BI81" s="4">
        <v>8.2308162527622894E-2</v>
      </c>
      <c r="BJ81" s="4">
        <v>5.4505041540204399E-2</v>
      </c>
      <c r="BK81" s="4">
        <v>5.5506702879740299E-2</v>
      </c>
      <c r="BL81" s="4">
        <v>5.3254892000042603E-2</v>
      </c>
      <c r="BM81" s="4">
        <v>1.2155067887842499E-2</v>
      </c>
      <c r="BN81" s="4">
        <v>1.88344030442971E-2</v>
      </c>
      <c r="BO81" s="4">
        <v>3.8187495686227502E-3</v>
      </c>
      <c r="BP81" s="4">
        <v>4.3636129538937501E-2</v>
      </c>
      <c r="BQ81" s="4">
        <v>6.6905527368679898E-2</v>
      </c>
      <c r="BR81" s="4">
        <v>1.45941511291792E-2</v>
      </c>
      <c r="BS81" s="4">
        <v>6.7459024340469895E-2</v>
      </c>
      <c r="BT81" s="4">
        <v>9.3164256412132607E-2</v>
      </c>
      <c r="BU81" s="4">
        <v>3.5376939522234599E-2</v>
      </c>
      <c r="BV81" s="4">
        <v>8.5359027495013007E-2</v>
      </c>
      <c r="BW81" s="4">
        <v>8.1942329678128797E-2</v>
      </c>
      <c r="BX81" s="4">
        <v>8.9623326251544996E-2</v>
      </c>
      <c r="BY81" s="4">
        <v>8.2971383836959497E-2</v>
      </c>
      <c r="BZ81" s="4">
        <v>7.9113763816416799E-2</v>
      </c>
      <c r="CA81" s="4">
        <v>8.7785987041106794E-2</v>
      </c>
      <c r="CB81" s="4">
        <v>4.8655857296537999E-2</v>
      </c>
      <c r="CC81" s="4">
        <v>5.7706585089037997E-2</v>
      </c>
      <c r="CD81" s="4">
        <v>3.7359860594534298E-2</v>
      </c>
      <c r="CE81" s="4">
        <v>4.7978085464067399E-2</v>
      </c>
      <c r="CF81" s="4">
        <v>3.8135276596822497E-2</v>
      </c>
      <c r="CG81" s="4">
        <v>6.0262659594667797E-2</v>
      </c>
      <c r="CH81" s="4">
        <v>2.6492987175993101E-2</v>
      </c>
      <c r="CI81" s="4">
        <v>2.6961687536737999E-2</v>
      </c>
      <c r="CJ81" s="4">
        <v>2.59080134754704E-2</v>
      </c>
      <c r="CK81" s="4">
        <v>3.7991118093355598E-2</v>
      </c>
      <c r="CL81" s="4">
        <v>4.7999066122515803E-2</v>
      </c>
      <c r="CM81" s="4">
        <v>2.5500437727860599E-2</v>
      </c>
      <c r="CN81" s="4">
        <v>4.8561810045864198E-2</v>
      </c>
      <c r="CO81" s="4">
        <v>4.7610646213282003E-2</v>
      </c>
      <c r="CP81" s="4">
        <v>4.9748934856403401E-2</v>
      </c>
      <c r="CQ81" s="4">
        <v>7.6815638962670907E-2</v>
      </c>
      <c r="CR81" s="4">
        <v>5.4001146724640701E-2</v>
      </c>
      <c r="CS81" s="4">
        <v>0.10528986059291801</v>
      </c>
      <c r="CT81" s="1">
        <f>Table1[[#This Row],[Female %]]*Table1[[#This Row],[NWS_pin]]</f>
        <v>0</v>
      </c>
      <c r="CU81" s="1">
        <f>Table1[[#This Row],[Male %]]*Table1[[#This Row],[NWS_pin]]</f>
        <v>0</v>
      </c>
      <c r="CV81" s="1">
        <f>Table1[[#This Row],[Female% (0-2)22]]+Table1[[#This Row],[Male%(0-2)3]]</f>
        <v>0</v>
      </c>
      <c r="CW81" s="1">
        <f>$CT81*Table1[[#This Row],[Female% (0-2)]]</f>
        <v>0</v>
      </c>
      <c r="CX81" s="1">
        <f>$CU81*Table1[[#This Row],[Male%(0-2)]]</f>
        <v>0</v>
      </c>
      <c r="CY81" s="1">
        <f>Table1[[#This Row],[Female%  (3-5)5]]+Table1[[#This Row],[Male% (3-5)6]]</f>
        <v>0</v>
      </c>
      <c r="CZ81" s="1">
        <f>$AF81*Table1[[#This Row],[Female%  (3-5)]]</f>
        <v>0</v>
      </c>
      <c r="DA81" s="1">
        <f>$CU81*Table1[[#This Row],[Male% (3-5)]]</f>
        <v>0</v>
      </c>
      <c r="DB81" s="1">
        <f>Table1[[#This Row],[Female% (6-8)8]]+Table1[[#This Row],[Male%(6-8)9]]</f>
        <v>0</v>
      </c>
      <c r="DC81" s="1">
        <f>$CT81*Table1[[#This Row],[Female% (6-8)]]</f>
        <v>0</v>
      </c>
      <c r="DD81" s="1">
        <f>$CU81*Table1[[#This Row],[Male%(6-8)]]</f>
        <v>0</v>
      </c>
      <c r="DE81" s="1">
        <f>Table1[[#This Row],[Female% (9 - 11)11]]+Table1[[#This Row],[Male% (9 - 11)12]]</f>
        <v>0</v>
      </c>
      <c r="DF81" s="1">
        <f>$CT81*Table1[[#This Row],[Female% (9 - 11)]]</f>
        <v>0</v>
      </c>
      <c r="DG81" s="1">
        <f>$CU81*Table1[[#This Row],[Male% (9 - 11)]]</f>
        <v>0</v>
      </c>
      <c r="DH81" s="1">
        <f>Table1[[#This Row],[Female% (12-14)14]]+Table1[[#This Row],[Male%(12-14)15]]</f>
        <v>0</v>
      </c>
      <c r="DI81" s="1">
        <f>$CT81*Table1[[#This Row],[Female% (12-14)]]</f>
        <v>0</v>
      </c>
      <c r="DJ81" s="1">
        <f>$CU81*Table1[[#This Row],[Male%(12-14)]]</f>
        <v>0</v>
      </c>
      <c r="DK81" s="1">
        <f>Table1[[#This Row],[Female% (15-17)17]]+Table1[[#This Row],[Male%(15-17)18]]</f>
        <v>0</v>
      </c>
      <c r="DL81" s="1">
        <f>$CT81*Table1[[#This Row],[Female% (15-17)]]</f>
        <v>0</v>
      </c>
      <c r="DM81" s="1">
        <f>$CU81*Table1[[#This Row],[Male%(15-17)]]</f>
        <v>0</v>
      </c>
      <c r="DN81" s="1">
        <f>$AF81*Table1[[#This Row],[Total% (18-19)]]</f>
        <v>0</v>
      </c>
      <c r="DO81" s="1">
        <f>$CT81*Table1[[#This Row],[Female% (18-19)]]</f>
        <v>0</v>
      </c>
      <c r="DP81" s="1">
        <f>$CU81*Table1[[#This Row],[Male%(18-19)]]</f>
        <v>0</v>
      </c>
      <c r="DQ81" s="1">
        <f>$AF81*Table1[[#This Row],[Total% (20-24)]]</f>
        <v>0</v>
      </c>
      <c r="DR81" s="1">
        <f>$CT81*Table1[[#This Row],[Female% (20-24)]]</f>
        <v>0</v>
      </c>
      <c r="DS81" s="1">
        <f>$CU81*Table1[[#This Row],[Male% (20-24)]]</f>
        <v>0</v>
      </c>
      <c r="DT81" s="1">
        <f>$AF81*Table1[[#This Row],[Total% (25-29)]]</f>
        <v>0</v>
      </c>
      <c r="DU81" s="1">
        <f>$CT81*Table1[[#This Row],[Female% (25-29)]]</f>
        <v>0</v>
      </c>
      <c r="DV81" s="1">
        <f>$CU81*Table1[[#This Row],[Male% (25-29)]]</f>
        <v>0</v>
      </c>
      <c r="DW81" s="1">
        <f>$AF81*Table1[[#This Row],[Total%   (30-34)]]</f>
        <v>0</v>
      </c>
      <c r="DX81" s="1">
        <f>$CT81*Table1[[#This Row],[Female%   (30-34)]]</f>
        <v>0</v>
      </c>
      <c r="DY81" s="1">
        <f>$CU81*Table1[[#This Row],[Male%  (30-34)]]</f>
        <v>0</v>
      </c>
      <c r="DZ81" s="1">
        <f>$AF81*Table1[[#This Row],[Total% (35-39)]]</f>
        <v>0</v>
      </c>
      <c r="EA81" s="1">
        <f>$CT81*Table1[[#This Row],[Female% (35-39)]]</f>
        <v>0</v>
      </c>
      <c r="EB81" s="1">
        <f>$CU81*Table1[[#This Row],[Male% (35-39)]]</f>
        <v>0</v>
      </c>
      <c r="EC81" s="1">
        <f>$AF81*Table1[[#This Row],[Total% (40-44)]]</f>
        <v>0</v>
      </c>
      <c r="ED81" s="1">
        <f>$CT81*Table1[[#This Row],[Female% (40-44)]]</f>
        <v>0</v>
      </c>
      <c r="EE81" s="1">
        <f>$CU81*Table1[[#This Row],[Male%(55-59)]]</f>
        <v>0</v>
      </c>
      <c r="EF81" s="1">
        <f>$AF81*Table1[[#This Row],[Total% (45-49)]]</f>
        <v>0</v>
      </c>
      <c r="EG81" s="1">
        <f>$CT81*Table1[[#This Row],[Female% (45-49)]]</f>
        <v>0</v>
      </c>
      <c r="EH81" s="1">
        <f>$CU81*Table1[[#This Row],[Male% (45-49)]]</f>
        <v>0</v>
      </c>
      <c r="EI81" s="1">
        <f>$AF81*Table1[[#This Row],[Total% (50-54)]]</f>
        <v>0</v>
      </c>
      <c r="EJ81" s="1">
        <f>$CT81*Table1[[#This Row],[Female%(50-54)]]</f>
        <v>0</v>
      </c>
      <c r="EK81" s="1">
        <f>$CU81*Table1[[#This Row],[Male% (50-54)]]</f>
        <v>0</v>
      </c>
      <c r="EL81" s="1">
        <f>$AF81*Table1[[#This Row],[Total% (55-59)]]</f>
        <v>0</v>
      </c>
      <c r="EM81" s="1">
        <f>$CT81*Table1[[#This Row],[Female% (55-59)]]</f>
        <v>0</v>
      </c>
      <c r="EN81" s="1">
        <f>$CU81*Table1[[#This Row],[Male% (55-59)]]</f>
        <v>0</v>
      </c>
      <c r="EO81" s="1">
        <f>$AF81*Table1[[#This Row],[Total% (60-64)]]</f>
        <v>0</v>
      </c>
      <c r="EP81" s="1">
        <f>$CT81*Table1[[#This Row],[Female%(60-64)]]</f>
        <v>0</v>
      </c>
      <c r="EQ81" s="1">
        <f>$CU81*Table1[[#This Row],[Male%(60-64)]]</f>
        <v>0</v>
      </c>
      <c r="ER81" s="1">
        <f>$AF81*Table1[[#This Row],[Total% (&gt;=65)]]</f>
        <v>0</v>
      </c>
      <c r="ES81" s="1">
        <f>$CT81*Table1[[#This Row],[Female%(&gt;=65)]]</f>
        <v>0</v>
      </c>
      <c r="ET81" s="1">
        <f>$CU81*Table1[[#This Row],[Male% (&gt;=65)]]</f>
        <v>0</v>
      </c>
    </row>
    <row r="82" spans="1:150" hidden="1" x14ac:dyDescent="0.35">
      <c r="A82" t="s">
        <v>17</v>
      </c>
      <c r="B82" t="s">
        <v>18</v>
      </c>
      <c r="C82" t="s">
        <v>17</v>
      </c>
      <c r="D82" t="s">
        <v>19</v>
      </c>
      <c r="E82" t="s">
        <v>84</v>
      </c>
      <c r="F82" t="s">
        <v>85</v>
      </c>
      <c r="H82">
        <v>2</v>
      </c>
      <c r="I82" s="1">
        <v>728</v>
      </c>
      <c r="J82" s="1">
        <v>70779</v>
      </c>
      <c r="K82" s="1">
        <v>5236</v>
      </c>
      <c r="L82" s="1">
        <v>0</v>
      </c>
      <c r="M82" s="1">
        <v>0</v>
      </c>
      <c r="N82" s="1">
        <v>5236</v>
      </c>
      <c r="O82" s="3">
        <v>1</v>
      </c>
      <c r="P82" s="3">
        <v>0</v>
      </c>
      <c r="Q82" s="3">
        <v>0</v>
      </c>
      <c r="R82" s="3">
        <v>0</v>
      </c>
      <c r="S82" s="3">
        <v>0</v>
      </c>
      <c r="T82" s="1">
        <v>76743</v>
      </c>
      <c r="U82" s="1">
        <v>0</v>
      </c>
      <c r="V82" s="10">
        <f>Table1[[#This Row],[Pop NW+RATAA]]*Table1[[#This Row],[Perc_pop_Northern_Aleppo]]</f>
        <v>0</v>
      </c>
      <c r="W82" s="10">
        <f>Table1[[#This Row],[Pop NW+RATAA]]*Table1[[#This Row],[Perc_pop_Afrin District]]</f>
        <v>0</v>
      </c>
      <c r="X82" s="10">
        <f>Table1[[#This Row],[Pop NW+RATAA]]*Table1[[#This Row],[Perc_pop_Euphrates Shiled]]</f>
        <v>0</v>
      </c>
      <c r="Y82" s="10">
        <f>Table1[[#This Row],[Pop NW+RATAA]]*Table1[[#This Row],[Perc_Pop_Idleb_NSAG]]</f>
        <v>0</v>
      </c>
      <c r="Z82" s="3">
        <v>0</v>
      </c>
      <c r="AA82" s="3">
        <v>0</v>
      </c>
      <c r="AB82" s="3">
        <v>0</v>
      </c>
      <c r="AC82" s="3">
        <v>0</v>
      </c>
      <c r="AD82" s="1">
        <v>5236</v>
      </c>
      <c r="AE82" s="1">
        <v>0</v>
      </c>
      <c r="AF82" s="1">
        <v>0</v>
      </c>
      <c r="AG82" s="1">
        <v>0</v>
      </c>
      <c r="AH82" s="1">
        <v>0</v>
      </c>
      <c r="AI82" s="1">
        <f>Table1[[#This Row],[NWS_pin]]*Table1[[#This Row],[Perc_pop_Northern_Aleppo]]</f>
        <v>0</v>
      </c>
      <c r="AJ82" s="1">
        <f>Table1[[#This Row],[NWS_pin]]*Table1[[#This Row],[Perc_pop_Afrin District]]</f>
        <v>0</v>
      </c>
      <c r="AK82" s="1">
        <f>Table1[[#This Row],[NWS_pin]]*Table1[[#This Row],[Perc_pop_Euphrates Shiled]]</f>
        <v>0</v>
      </c>
      <c r="AL82" s="1">
        <f>Table1[[#This Row],[NWS_pin]]*Table1[[#This Row],[Perc_Pop_Idleb_NSAG]]</f>
        <v>0</v>
      </c>
      <c r="AM82" s="4">
        <v>0.52723412433629302</v>
      </c>
      <c r="AN82" s="4">
        <v>0.47276587566370698</v>
      </c>
      <c r="AO82" s="4">
        <v>7.2781002309180595E-2</v>
      </c>
      <c r="AP82" s="4">
        <v>0.49472216240134698</v>
      </c>
      <c r="AQ82" s="4">
        <v>0.43283570365822299</v>
      </c>
      <c r="AR82" s="4">
        <v>1.23321915364772E-2</v>
      </c>
      <c r="AS82" s="4">
        <v>0</v>
      </c>
      <c r="AT82" s="4">
        <v>6.01099424039526E-2</v>
      </c>
      <c r="AU82" s="4">
        <v>4.9225285923275401E-2</v>
      </c>
      <c r="AV82" s="4">
        <v>4.3608791445357502E-2</v>
      </c>
      <c r="AW82" s="4">
        <v>5.54888673286539E-2</v>
      </c>
      <c r="AX82" s="4">
        <v>3.4682887487944201E-2</v>
      </c>
      <c r="AY82" s="4">
        <v>2.9403948083133999E-2</v>
      </c>
      <c r="AZ82" s="4">
        <v>4.0570023463255701E-2</v>
      </c>
      <c r="BA82" s="4">
        <v>4.7751534523898999E-2</v>
      </c>
      <c r="BB82" s="4">
        <v>2.28585790828938E-2</v>
      </c>
      <c r="BC82" s="4">
        <v>7.5512454335752294E-2</v>
      </c>
      <c r="BD82" s="4">
        <v>8.2627197353683096E-2</v>
      </c>
      <c r="BE82" s="4">
        <v>7.8424029166479406E-2</v>
      </c>
      <c r="BF82" s="4">
        <v>8.7314620479363295E-2</v>
      </c>
      <c r="BG82" s="4">
        <v>9.0687488353765805E-2</v>
      </c>
      <c r="BH82" s="4">
        <v>7.8686465339838196E-2</v>
      </c>
      <c r="BI82" s="4">
        <v>0.104071171875773</v>
      </c>
      <c r="BJ82" s="4">
        <v>0.105280201445844</v>
      </c>
      <c r="BK82" s="4">
        <v>0.122426197455201</v>
      </c>
      <c r="BL82" s="4">
        <v>8.6158782880733406E-2</v>
      </c>
      <c r="BM82" s="4">
        <v>3.3234000889867402E-2</v>
      </c>
      <c r="BN82" s="4">
        <v>3.3274465515165497E-2</v>
      </c>
      <c r="BO82" s="4">
        <v>3.3188874258729399E-2</v>
      </c>
      <c r="BP82" s="4">
        <v>8.4632470446720995E-2</v>
      </c>
      <c r="BQ82" s="4">
        <v>0.109909157136017</v>
      </c>
      <c r="BR82" s="4">
        <v>5.6443608985337998E-2</v>
      </c>
      <c r="BS82" s="4">
        <v>6.6943943329314998E-2</v>
      </c>
      <c r="BT82" s="4">
        <v>8.2518699270893503E-2</v>
      </c>
      <c r="BU82" s="4">
        <v>4.9574790365214998E-2</v>
      </c>
      <c r="BV82" s="4">
        <v>7.3727061123824697E-2</v>
      </c>
      <c r="BW82" s="4">
        <v>6.6675987866904401E-2</v>
      </c>
      <c r="BX82" s="4">
        <v>8.159050183647E-2</v>
      </c>
      <c r="BY82" s="4">
        <v>6.8926106783498101E-2</v>
      </c>
      <c r="BZ82" s="4">
        <v>8.8159135081391296E-2</v>
      </c>
      <c r="CA82" s="4">
        <v>4.7477205001534503E-2</v>
      </c>
      <c r="CB82" s="4">
        <v>7.8759404379773898E-2</v>
      </c>
      <c r="CC82" s="4">
        <v>8.5325046342455399E-2</v>
      </c>
      <c r="CD82" s="4">
        <v>7.1437322416814303E-2</v>
      </c>
      <c r="CE82" s="4">
        <v>4.8606591161528503E-2</v>
      </c>
      <c r="CF82" s="4">
        <v>4.41985792937305E-2</v>
      </c>
      <c r="CG82" s="4">
        <v>5.3522458394796503E-2</v>
      </c>
      <c r="CH82" s="4">
        <v>3.8130904110502697E-2</v>
      </c>
      <c r="CI82" s="4">
        <v>3.2809515169975899E-2</v>
      </c>
      <c r="CJ82" s="4">
        <v>4.4065380312645397E-2</v>
      </c>
      <c r="CK82" s="4">
        <v>3.0620564009750498E-2</v>
      </c>
      <c r="CL82" s="4">
        <v>2.43627322879163E-2</v>
      </c>
      <c r="CM82" s="4">
        <v>3.7599372333158403E-2</v>
      </c>
      <c r="CN82" s="4">
        <v>2.2638670265529699E-2</v>
      </c>
      <c r="CO82" s="4">
        <v>2.1039280536501701E-2</v>
      </c>
      <c r="CP82" s="4">
        <v>2.4422328703382901E-2</v>
      </c>
      <c r="CQ82" s="4">
        <v>4.35256884112767E-2</v>
      </c>
      <c r="CR82" s="4">
        <v>3.6319390926144501E-2</v>
      </c>
      <c r="CS82" s="4">
        <v>5.1562237028383598E-2</v>
      </c>
      <c r="CT82" s="1">
        <f>Table1[[#This Row],[Female %]]*Table1[[#This Row],[NWS_pin]]</f>
        <v>0</v>
      </c>
      <c r="CU82" s="1">
        <f>Table1[[#This Row],[Male %]]*Table1[[#This Row],[NWS_pin]]</f>
        <v>0</v>
      </c>
      <c r="CV82" s="1">
        <f>Table1[[#This Row],[Female% (0-2)22]]+Table1[[#This Row],[Male%(0-2)3]]</f>
        <v>0</v>
      </c>
      <c r="CW82" s="1">
        <f>$CT82*Table1[[#This Row],[Female% (0-2)]]</f>
        <v>0</v>
      </c>
      <c r="CX82" s="1">
        <f>$CU82*Table1[[#This Row],[Male%(0-2)]]</f>
        <v>0</v>
      </c>
      <c r="CY82" s="1">
        <f>Table1[[#This Row],[Female%  (3-5)5]]+Table1[[#This Row],[Male% (3-5)6]]</f>
        <v>0</v>
      </c>
      <c r="CZ82" s="1">
        <f>$AF82*Table1[[#This Row],[Female%  (3-5)]]</f>
        <v>0</v>
      </c>
      <c r="DA82" s="1">
        <f>$CU82*Table1[[#This Row],[Male% (3-5)]]</f>
        <v>0</v>
      </c>
      <c r="DB82" s="1">
        <f>Table1[[#This Row],[Female% (6-8)8]]+Table1[[#This Row],[Male%(6-8)9]]</f>
        <v>0</v>
      </c>
      <c r="DC82" s="1">
        <f>$CT82*Table1[[#This Row],[Female% (6-8)]]</f>
        <v>0</v>
      </c>
      <c r="DD82" s="1">
        <f>$CU82*Table1[[#This Row],[Male%(6-8)]]</f>
        <v>0</v>
      </c>
      <c r="DE82" s="1">
        <f>Table1[[#This Row],[Female% (9 - 11)11]]+Table1[[#This Row],[Male% (9 - 11)12]]</f>
        <v>0</v>
      </c>
      <c r="DF82" s="1">
        <f>$CT82*Table1[[#This Row],[Female% (9 - 11)]]</f>
        <v>0</v>
      </c>
      <c r="DG82" s="1">
        <f>$CU82*Table1[[#This Row],[Male% (9 - 11)]]</f>
        <v>0</v>
      </c>
      <c r="DH82" s="1">
        <f>Table1[[#This Row],[Female% (12-14)14]]+Table1[[#This Row],[Male%(12-14)15]]</f>
        <v>0</v>
      </c>
      <c r="DI82" s="1">
        <f>$CT82*Table1[[#This Row],[Female% (12-14)]]</f>
        <v>0</v>
      </c>
      <c r="DJ82" s="1">
        <f>$CU82*Table1[[#This Row],[Male%(12-14)]]</f>
        <v>0</v>
      </c>
      <c r="DK82" s="1">
        <f>Table1[[#This Row],[Female% (15-17)17]]+Table1[[#This Row],[Male%(15-17)18]]</f>
        <v>0</v>
      </c>
      <c r="DL82" s="1">
        <f>$CT82*Table1[[#This Row],[Female% (15-17)]]</f>
        <v>0</v>
      </c>
      <c r="DM82" s="1">
        <f>$CU82*Table1[[#This Row],[Male%(15-17)]]</f>
        <v>0</v>
      </c>
      <c r="DN82" s="1">
        <f>$AF82*Table1[[#This Row],[Total% (18-19)]]</f>
        <v>0</v>
      </c>
      <c r="DO82" s="1">
        <f>$CT82*Table1[[#This Row],[Female% (18-19)]]</f>
        <v>0</v>
      </c>
      <c r="DP82" s="1">
        <f>$CU82*Table1[[#This Row],[Male%(18-19)]]</f>
        <v>0</v>
      </c>
      <c r="DQ82" s="1">
        <f>$AF82*Table1[[#This Row],[Total% (20-24)]]</f>
        <v>0</v>
      </c>
      <c r="DR82" s="1">
        <f>$CT82*Table1[[#This Row],[Female% (20-24)]]</f>
        <v>0</v>
      </c>
      <c r="DS82" s="1">
        <f>$CU82*Table1[[#This Row],[Male% (20-24)]]</f>
        <v>0</v>
      </c>
      <c r="DT82" s="1">
        <f>$AF82*Table1[[#This Row],[Total% (25-29)]]</f>
        <v>0</v>
      </c>
      <c r="DU82" s="1">
        <f>$CT82*Table1[[#This Row],[Female% (25-29)]]</f>
        <v>0</v>
      </c>
      <c r="DV82" s="1">
        <f>$CU82*Table1[[#This Row],[Male% (25-29)]]</f>
        <v>0</v>
      </c>
      <c r="DW82" s="1">
        <f>$AF82*Table1[[#This Row],[Total%   (30-34)]]</f>
        <v>0</v>
      </c>
      <c r="DX82" s="1">
        <f>$CT82*Table1[[#This Row],[Female%   (30-34)]]</f>
        <v>0</v>
      </c>
      <c r="DY82" s="1">
        <f>$CU82*Table1[[#This Row],[Male%  (30-34)]]</f>
        <v>0</v>
      </c>
      <c r="DZ82" s="1">
        <f>$AF82*Table1[[#This Row],[Total% (35-39)]]</f>
        <v>0</v>
      </c>
      <c r="EA82" s="1">
        <f>$CT82*Table1[[#This Row],[Female% (35-39)]]</f>
        <v>0</v>
      </c>
      <c r="EB82" s="1">
        <f>$CU82*Table1[[#This Row],[Male% (35-39)]]</f>
        <v>0</v>
      </c>
      <c r="EC82" s="1">
        <f>$AF82*Table1[[#This Row],[Total% (40-44)]]</f>
        <v>0</v>
      </c>
      <c r="ED82" s="1">
        <f>$CT82*Table1[[#This Row],[Female% (40-44)]]</f>
        <v>0</v>
      </c>
      <c r="EE82" s="1">
        <f>$CU82*Table1[[#This Row],[Male%(55-59)]]</f>
        <v>0</v>
      </c>
      <c r="EF82" s="1">
        <f>$AF82*Table1[[#This Row],[Total% (45-49)]]</f>
        <v>0</v>
      </c>
      <c r="EG82" s="1">
        <f>$CT82*Table1[[#This Row],[Female% (45-49)]]</f>
        <v>0</v>
      </c>
      <c r="EH82" s="1">
        <f>$CU82*Table1[[#This Row],[Male% (45-49)]]</f>
        <v>0</v>
      </c>
      <c r="EI82" s="1">
        <f>$AF82*Table1[[#This Row],[Total% (50-54)]]</f>
        <v>0</v>
      </c>
      <c r="EJ82" s="1">
        <f>$CT82*Table1[[#This Row],[Female%(50-54)]]</f>
        <v>0</v>
      </c>
      <c r="EK82" s="1">
        <f>$CU82*Table1[[#This Row],[Male% (50-54)]]</f>
        <v>0</v>
      </c>
      <c r="EL82" s="1">
        <f>$AF82*Table1[[#This Row],[Total% (55-59)]]</f>
        <v>0</v>
      </c>
      <c r="EM82" s="1">
        <f>$CT82*Table1[[#This Row],[Female% (55-59)]]</f>
        <v>0</v>
      </c>
      <c r="EN82" s="1">
        <f>$CU82*Table1[[#This Row],[Male% (55-59)]]</f>
        <v>0</v>
      </c>
      <c r="EO82" s="1">
        <f>$AF82*Table1[[#This Row],[Total% (60-64)]]</f>
        <v>0</v>
      </c>
      <c r="EP82" s="1">
        <f>$CT82*Table1[[#This Row],[Female%(60-64)]]</f>
        <v>0</v>
      </c>
      <c r="EQ82" s="1">
        <f>$CU82*Table1[[#This Row],[Male%(60-64)]]</f>
        <v>0</v>
      </c>
      <c r="ER82" s="1">
        <f>$AF82*Table1[[#This Row],[Total% (&gt;=65)]]</f>
        <v>0</v>
      </c>
      <c r="ES82" s="1">
        <f>$CT82*Table1[[#This Row],[Female%(&gt;=65)]]</f>
        <v>0</v>
      </c>
      <c r="ET82" s="1">
        <f>$CU82*Table1[[#This Row],[Male% (&gt;=65)]]</f>
        <v>0</v>
      </c>
    </row>
    <row r="83" spans="1:150" hidden="1" x14ac:dyDescent="0.35">
      <c r="A83" t="s">
        <v>17</v>
      </c>
      <c r="B83" t="s">
        <v>18</v>
      </c>
      <c r="C83" t="s">
        <v>17</v>
      </c>
      <c r="D83" t="s">
        <v>19</v>
      </c>
      <c r="E83" t="s">
        <v>26</v>
      </c>
      <c r="F83" t="s">
        <v>27</v>
      </c>
      <c r="H83">
        <v>2</v>
      </c>
      <c r="I83" s="1">
        <v>0</v>
      </c>
      <c r="J83" s="1">
        <v>33679</v>
      </c>
      <c r="K83" s="1">
        <v>657</v>
      </c>
      <c r="L83" s="1">
        <v>0</v>
      </c>
      <c r="M83" s="1">
        <v>0</v>
      </c>
      <c r="N83" s="1">
        <v>657</v>
      </c>
      <c r="O83" s="3">
        <v>1</v>
      </c>
      <c r="P83" s="3">
        <v>0</v>
      </c>
      <c r="Q83" s="3">
        <v>0</v>
      </c>
      <c r="R83" s="3">
        <v>0</v>
      </c>
      <c r="S83" s="3">
        <v>0</v>
      </c>
      <c r="T83" s="1">
        <v>34336</v>
      </c>
      <c r="U83" s="1">
        <v>0</v>
      </c>
      <c r="V83" s="10">
        <f>Table1[[#This Row],[Pop NW+RATAA]]*Table1[[#This Row],[Perc_pop_Northern_Aleppo]]</f>
        <v>0</v>
      </c>
      <c r="W83" s="10">
        <f>Table1[[#This Row],[Pop NW+RATAA]]*Table1[[#This Row],[Perc_pop_Afrin District]]</f>
        <v>0</v>
      </c>
      <c r="X83" s="10">
        <f>Table1[[#This Row],[Pop NW+RATAA]]*Table1[[#This Row],[Perc_pop_Euphrates Shiled]]</f>
        <v>0</v>
      </c>
      <c r="Y83" s="10">
        <f>Table1[[#This Row],[Pop NW+RATAA]]*Table1[[#This Row],[Perc_Pop_Idleb_NSAG]]</f>
        <v>0</v>
      </c>
      <c r="Z83" s="3">
        <v>0</v>
      </c>
      <c r="AA83" s="3">
        <v>0</v>
      </c>
      <c r="AB83" s="3">
        <v>0</v>
      </c>
      <c r="AC83" s="3">
        <v>0</v>
      </c>
      <c r="AD83" s="1">
        <v>657</v>
      </c>
      <c r="AE83" s="1">
        <v>0</v>
      </c>
      <c r="AF83" s="1">
        <v>0</v>
      </c>
      <c r="AG83" s="1">
        <v>0</v>
      </c>
      <c r="AH83" s="1">
        <v>0</v>
      </c>
      <c r="AI83" s="1">
        <f>Table1[[#This Row],[NWS_pin]]*Table1[[#This Row],[Perc_pop_Northern_Aleppo]]</f>
        <v>0</v>
      </c>
      <c r="AJ83" s="1">
        <f>Table1[[#This Row],[NWS_pin]]*Table1[[#This Row],[Perc_pop_Afrin District]]</f>
        <v>0</v>
      </c>
      <c r="AK83" s="1">
        <f>Table1[[#This Row],[NWS_pin]]*Table1[[#This Row],[Perc_pop_Euphrates Shiled]]</f>
        <v>0</v>
      </c>
      <c r="AL83" s="1">
        <f>Table1[[#This Row],[NWS_pin]]*Table1[[#This Row],[Perc_Pop_Idleb_NSAG]]</f>
        <v>0</v>
      </c>
      <c r="AM83" s="4">
        <v>0.53813080877808805</v>
      </c>
      <c r="AN83" s="4">
        <v>0.461869191221912</v>
      </c>
      <c r="AO83" s="4">
        <v>0.28964356419443998</v>
      </c>
      <c r="AP83" s="4">
        <v>0.45270846753619398</v>
      </c>
      <c r="AQ83" s="4">
        <v>0.48727787088465602</v>
      </c>
      <c r="AR83" s="4">
        <v>1.2177099755515799E-2</v>
      </c>
      <c r="AS83" s="4">
        <v>0</v>
      </c>
      <c r="AT83" s="4">
        <v>4.7836561823634202E-2</v>
      </c>
      <c r="AU83" s="4">
        <v>5.5066668401406699E-2</v>
      </c>
      <c r="AV83" s="4">
        <v>5.1860058238840497E-2</v>
      </c>
      <c r="AW83" s="4">
        <v>5.8802738598365802E-2</v>
      </c>
      <c r="AX83" s="4">
        <v>7.7909485796547495E-2</v>
      </c>
      <c r="AY83" s="4">
        <v>5.28825169531889E-2</v>
      </c>
      <c r="AZ83" s="4">
        <v>0.10706878726307401</v>
      </c>
      <c r="BA83" s="4">
        <v>6.7069844988981497E-2</v>
      </c>
      <c r="BB83" s="4">
        <v>5.0413387930240999E-2</v>
      </c>
      <c r="BC83" s="4">
        <v>8.6476536058122097E-2</v>
      </c>
      <c r="BD83" s="4">
        <v>7.7633275050193296E-2</v>
      </c>
      <c r="BE83" s="4">
        <v>6.9044784080914995E-2</v>
      </c>
      <c r="BF83" s="4">
        <v>8.7639856305924801E-2</v>
      </c>
      <c r="BG83" s="4">
        <v>7.5486131619884295E-2</v>
      </c>
      <c r="BH83" s="4">
        <v>7.9591958502665094E-2</v>
      </c>
      <c r="BI83" s="4">
        <v>7.0702370366425696E-2</v>
      </c>
      <c r="BJ83" s="4">
        <v>6.0191573262063897E-2</v>
      </c>
      <c r="BK83" s="4">
        <v>6.5511856871711099E-2</v>
      </c>
      <c r="BL83" s="4">
        <v>5.3992830033025498E-2</v>
      </c>
      <c r="BM83" s="4">
        <v>2.95453549585009E-2</v>
      </c>
      <c r="BN83" s="4">
        <v>3.4504887409680801E-2</v>
      </c>
      <c r="BO83" s="4">
        <v>2.3766928382669202E-2</v>
      </c>
      <c r="BP83" s="4">
        <v>5.0757248840622902E-2</v>
      </c>
      <c r="BQ83" s="4">
        <v>4.6543257837931201E-2</v>
      </c>
      <c r="BR83" s="4">
        <v>5.56670337528027E-2</v>
      </c>
      <c r="BS83" s="4">
        <v>5.8651319302979003E-2</v>
      </c>
      <c r="BT83" s="4">
        <v>6.24199383401908E-2</v>
      </c>
      <c r="BU83" s="4">
        <v>5.4260444031333198E-2</v>
      </c>
      <c r="BV83" s="4">
        <v>6.4349040704282698E-2</v>
      </c>
      <c r="BW83" s="4">
        <v>9.1887215384366297E-2</v>
      </c>
      <c r="BX83" s="4">
        <v>3.22638951814554E-2</v>
      </c>
      <c r="BY83" s="4">
        <v>9.24693109693068E-2</v>
      </c>
      <c r="BZ83" s="4">
        <v>8.83919737458599E-2</v>
      </c>
      <c r="CA83" s="4">
        <v>9.7219878488022798E-2</v>
      </c>
      <c r="CB83" s="4">
        <v>7.3739611813344999E-2</v>
      </c>
      <c r="CC83" s="4">
        <v>8.5788769781398197E-2</v>
      </c>
      <c r="CD83" s="4">
        <v>5.9700954882603602E-2</v>
      </c>
      <c r="CE83" s="4">
        <v>4.7323114724252199E-2</v>
      </c>
      <c r="CF83" s="4">
        <v>2.50154947588167E-2</v>
      </c>
      <c r="CG83" s="4">
        <v>7.33140615162549E-2</v>
      </c>
      <c r="CH83" s="4">
        <v>3.0156199714875601E-2</v>
      </c>
      <c r="CI83" s="4">
        <v>4.9148504487049501E-2</v>
      </c>
      <c r="CJ83" s="4">
        <v>8.0279770019226603E-3</v>
      </c>
      <c r="CK83" s="4">
        <v>3.4826417269636201E-2</v>
      </c>
      <c r="CL83" s="4">
        <v>3.6610786669391701E-2</v>
      </c>
      <c r="CM83" s="4">
        <v>3.2747421384006901E-2</v>
      </c>
      <c r="CN83" s="4">
        <v>3.09098033120964E-2</v>
      </c>
      <c r="CO83" s="4">
        <v>3.8849671639950102E-2</v>
      </c>
      <c r="CP83" s="4">
        <v>2.1658942146068599E-2</v>
      </c>
      <c r="CQ83" s="4">
        <v>7.3915599271025395E-2</v>
      </c>
      <c r="CR83" s="4">
        <v>7.1534937367803503E-2</v>
      </c>
      <c r="CS83" s="4">
        <v>7.6689344607921997E-2</v>
      </c>
      <c r="CT83" s="1">
        <f>Table1[[#This Row],[Female %]]*Table1[[#This Row],[NWS_pin]]</f>
        <v>0</v>
      </c>
      <c r="CU83" s="1">
        <f>Table1[[#This Row],[Male %]]*Table1[[#This Row],[NWS_pin]]</f>
        <v>0</v>
      </c>
      <c r="CV83" s="1">
        <f>Table1[[#This Row],[Female% (0-2)22]]+Table1[[#This Row],[Male%(0-2)3]]</f>
        <v>0</v>
      </c>
      <c r="CW83" s="1">
        <f>$CT83*Table1[[#This Row],[Female% (0-2)]]</f>
        <v>0</v>
      </c>
      <c r="CX83" s="1">
        <f>$CU83*Table1[[#This Row],[Male%(0-2)]]</f>
        <v>0</v>
      </c>
      <c r="CY83" s="1">
        <f>Table1[[#This Row],[Female%  (3-5)5]]+Table1[[#This Row],[Male% (3-5)6]]</f>
        <v>0</v>
      </c>
      <c r="CZ83" s="1">
        <f>$AF83*Table1[[#This Row],[Female%  (3-5)]]</f>
        <v>0</v>
      </c>
      <c r="DA83" s="1">
        <f>$CU83*Table1[[#This Row],[Male% (3-5)]]</f>
        <v>0</v>
      </c>
      <c r="DB83" s="1">
        <f>Table1[[#This Row],[Female% (6-8)8]]+Table1[[#This Row],[Male%(6-8)9]]</f>
        <v>0</v>
      </c>
      <c r="DC83" s="1">
        <f>$CT83*Table1[[#This Row],[Female% (6-8)]]</f>
        <v>0</v>
      </c>
      <c r="DD83" s="1">
        <f>$CU83*Table1[[#This Row],[Male%(6-8)]]</f>
        <v>0</v>
      </c>
      <c r="DE83" s="1">
        <f>Table1[[#This Row],[Female% (9 - 11)11]]+Table1[[#This Row],[Male% (9 - 11)12]]</f>
        <v>0</v>
      </c>
      <c r="DF83" s="1">
        <f>$CT83*Table1[[#This Row],[Female% (9 - 11)]]</f>
        <v>0</v>
      </c>
      <c r="DG83" s="1">
        <f>$CU83*Table1[[#This Row],[Male% (9 - 11)]]</f>
        <v>0</v>
      </c>
      <c r="DH83" s="1">
        <f>Table1[[#This Row],[Female% (12-14)14]]+Table1[[#This Row],[Male%(12-14)15]]</f>
        <v>0</v>
      </c>
      <c r="DI83" s="1">
        <f>$CT83*Table1[[#This Row],[Female% (12-14)]]</f>
        <v>0</v>
      </c>
      <c r="DJ83" s="1">
        <f>$CU83*Table1[[#This Row],[Male%(12-14)]]</f>
        <v>0</v>
      </c>
      <c r="DK83" s="1">
        <f>Table1[[#This Row],[Female% (15-17)17]]+Table1[[#This Row],[Male%(15-17)18]]</f>
        <v>0</v>
      </c>
      <c r="DL83" s="1">
        <f>$CT83*Table1[[#This Row],[Female% (15-17)]]</f>
        <v>0</v>
      </c>
      <c r="DM83" s="1">
        <f>$CU83*Table1[[#This Row],[Male%(15-17)]]</f>
        <v>0</v>
      </c>
      <c r="DN83" s="1">
        <f>$AF83*Table1[[#This Row],[Total% (18-19)]]</f>
        <v>0</v>
      </c>
      <c r="DO83" s="1">
        <f>$CT83*Table1[[#This Row],[Female% (18-19)]]</f>
        <v>0</v>
      </c>
      <c r="DP83" s="1">
        <f>$CU83*Table1[[#This Row],[Male%(18-19)]]</f>
        <v>0</v>
      </c>
      <c r="DQ83" s="1">
        <f>$AF83*Table1[[#This Row],[Total% (20-24)]]</f>
        <v>0</v>
      </c>
      <c r="DR83" s="1">
        <f>$CT83*Table1[[#This Row],[Female% (20-24)]]</f>
        <v>0</v>
      </c>
      <c r="DS83" s="1">
        <f>$CU83*Table1[[#This Row],[Male% (20-24)]]</f>
        <v>0</v>
      </c>
      <c r="DT83" s="1">
        <f>$AF83*Table1[[#This Row],[Total% (25-29)]]</f>
        <v>0</v>
      </c>
      <c r="DU83" s="1">
        <f>$CT83*Table1[[#This Row],[Female% (25-29)]]</f>
        <v>0</v>
      </c>
      <c r="DV83" s="1">
        <f>$CU83*Table1[[#This Row],[Male% (25-29)]]</f>
        <v>0</v>
      </c>
      <c r="DW83" s="1">
        <f>$AF83*Table1[[#This Row],[Total%   (30-34)]]</f>
        <v>0</v>
      </c>
      <c r="DX83" s="1">
        <f>$CT83*Table1[[#This Row],[Female%   (30-34)]]</f>
        <v>0</v>
      </c>
      <c r="DY83" s="1">
        <f>$CU83*Table1[[#This Row],[Male%  (30-34)]]</f>
        <v>0</v>
      </c>
      <c r="DZ83" s="1">
        <f>$AF83*Table1[[#This Row],[Total% (35-39)]]</f>
        <v>0</v>
      </c>
      <c r="EA83" s="1">
        <f>$CT83*Table1[[#This Row],[Female% (35-39)]]</f>
        <v>0</v>
      </c>
      <c r="EB83" s="1">
        <f>$CU83*Table1[[#This Row],[Male% (35-39)]]</f>
        <v>0</v>
      </c>
      <c r="EC83" s="1">
        <f>$AF83*Table1[[#This Row],[Total% (40-44)]]</f>
        <v>0</v>
      </c>
      <c r="ED83" s="1">
        <f>$CT83*Table1[[#This Row],[Female% (40-44)]]</f>
        <v>0</v>
      </c>
      <c r="EE83" s="1">
        <f>$CU83*Table1[[#This Row],[Male%(55-59)]]</f>
        <v>0</v>
      </c>
      <c r="EF83" s="1">
        <f>$AF83*Table1[[#This Row],[Total% (45-49)]]</f>
        <v>0</v>
      </c>
      <c r="EG83" s="1">
        <f>$CT83*Table1[[#This Row],[Female% (45-49)]]</f>
        <v>0</v>
      </c>
      <c r="EH83" s="1">
        <f>$CU83*Table1[[#This Row],[Male% (45-49)]]</f>
        <v>0</v>
      </c>
      <c r="EI83" s="1">
        <f>$AF83*Table1[[#This Row],[Total% (50-54)]]</f>
        <v>0</v>
      </c>
      <c r="EJ83" s="1">
        <f>$CT83*Table1[[#This Row],[Female%(50-54)]]</f>
        <v>0</v>
      </c>
      <c r="EK83" s="1">
        <f>$CU83*Table1[[#This Row],[Male% (50-54)]]</f>
        <v>0</v>
      </c>
      <c r="EL83" s="1">
        <f>$AF83*Table1[[#This Row],[Total% (55-59)]]</f>
        <v>0</v>
      </c>
      <c r="EM83" s="1">
        <f>$CT83*Table1[[#This Row],[Female% (55-59)]]</f>
        <v>0</v>
      </c>
      <c r="EN83" s="1">
        <f>$CU83*Table1[[#This Row],[Male% (55-59)]]</f>
        <v>0</v>
      </c>
      <c r="EO83" s="1">
        <f>$AF83*Table1[[#This Row],[Total% (60-64)]]</f>
        <v>0</v>
      </c>
      <c r="EP83" s="1">
        <f>$CT83*Table1[[#This Row],[Female%(60-64)]]</f>
        <v>0</v>
      </c>
      <c r="EQ83" s="1">
        <f>$CU83*Table1[[#This Row],[Male%(60-64)]]</f>
        <v>0</v>
      </c>
      <c r="ER83" s="1">
        <f>$AF83*Table1[[#This Row],[Total% (&gt;=65)]]</f>
        <v>0</v>
      </c>
      <c r="ES83" s="1">
        <f>$CT83*Table1[[#This Row],[Female%(&gt;=65)]]</f>
        <v>0</v>
      </c>
      <c r="ET83" s="1">
        <f>$CU83*Table1[[#This Row],[Male% (&gt;=65)]]</f>
        <v>0</v>
      </c>
    </row>
    <row r="84" spans="1:150" hidden="1" x14ac:dyDescent="0.35">
      <c r="A84" t="s">
        <v>17</v>
      </c>
      <c r="B84" t="s">
        <v>18</v>
      </c>
      <c r="C84" t="s">
        <v>17</v>
      </c>
      <c r="D84" t="s">
        <v>19</v>
      </c>
      <c r="E84" t="s">
        <v>134</v>
      </c>
      <c r="F84" t="s">
        <v>135</v>
      </c>
      <c r="H84">
        <v>3</v>
      </c>
      <c r="I84" s="1">
        <v>0</v>
      </c>
      <c r="J84" s="1">
        <v>19032</v>
      </c>
      <c r="K84" s="1">
        <v>6344</v>
      </c>
      <c r="L84" s="1">
        <v>0</v>
      </c>
      <c r="M84" s="1">
        <v>0</v>
      </c>
      <c r="N84" s="1">
        <v>6344</v>
      </c>
      <c r="O84" s="3">
        <v>1</v>
      </c>
      <c r="P84" s="3">
        <v>0</v>
      </c>
      <c r="Q84" s="3">
        <v>0</v>
      </c>
      <c r="R84" s="3">
        <v>0</v>
      </c>
      <c r="S84" s="3">
        <v>0</v>
      </c>
      <c r="T84" s="1">
        <v>25376</v>
      </c>
      <c r="U84" s="1">
        <v>0</v>
      </c>
      <c r="V84" s="10">
        <f>Table1[[#This Row],[Pop NW+RATAA]]*Table1[[#This Row],[Perc_pop_Northern_Aleppo]]</f>
        <v>0</v>
      </c>
      <c r="W84" s="10">
        <f>Table1[[#This Row],[Pop NW+RATAA]]*Table1[[#This Row],[Perc_pop_Afrin District]]</f>
        <v>0</v>
      </c>
      <c r="X84" s="10">
        <f>Table1[[#This Row],[Pop NW+RATAA]]*Table1[[#This Row],[Perc_pop_Euphrates Shiled]]</f>
        <v>0</v>
      </c>
      <c r="Y84" s="10">
        <f>Table1[[#This Row],[Pop NW+RATAA]]*Table1[[#This Row],[Perc_Pop_Idleb_NSAG]]</f>
        <v>0</v>
      </c>
      <c r="Z84" s="3">
        <v>0</v>
      </c>
      <c r="AA84" s="3">
        <v>0</v>
      </c>
      <c r="AB84" s="3">
        <v>0</v>
      </c>
      <c r="AC84" s="3">
        <v>0</v>
      </c>
      <c r="AD84" s="1">
        <v>6344</v>
      </c>
      <c r="AE84" s="1">
        <v>0</v>
      </c>
      <c r="AF84" s="1">
        <v>0</v>
      </c>
      <c r="AG84" s="1">
        <v>0</v>
      </c>
      <c r="AH84" s="1">
        <v>0</v>
      </c>
      <c r="AI84" s="1">
        <f>Table1[[#This Row],[NWS_pin]]*Table1[[#This Row],[Perc_pop_Northern_Aleppo]]</f>
        <v>0</v>
      </c>
      <c r="AJ84" s="1">
        <f>Table1[[#This Row],[NWS_pin]]*Table1[[#This Row],[Perc_pop_Afrin District]]</f>
        <v>0</v>
      </c>
      <c r="AK84" s="1">
        <f>Table1[[#This Row],[NWS_pin]]*Table1[[#This Row],[Perc_pop_Euphrates Shiled]]</f>
        <v>0</v>
      </c>
      <c r="AL84" s="1">
        <f>Table1[[#This Row],[NWS_pin]]*Table1[[#This Row],[Perc_Pop_Idleb_NSAG]]</f>
        <v>0</v>
      </c>
      <c r="AM84" s="4">
        <v>0.54585551372872598</v>
      </c>
      <c r="AN84" s="4">
        <v>0.45414448627127402</v>
      </c>
      <c r="AO84" s="4">
        <v>0.32756043664229301</v>
      </c>
      <c r="AP84" s="4">
        <v>0.42761233538704402</v>
      </c>
      <c r="AQ84" s="4">
        <v>0.48884264394119797</v>
      </c>
      <c r="AR84" s="4">
        <v>6.1699965815811301E-3</v>
      </c>
      <c r="AS84" s="4">
        <v>0</v>
      </c>
      <c r="AT84" s="4">
        <v>7.73750240901767E-2</v>
      </c>
      <c r="AU84" s="4">
        <v>4.34191137247271E-2</v>
      </c>
      <c r="AV84" s="4">
        <v>2.9521039156956801E-2</v>
      </c>
      <c r="AW84" s="4">
        <v>6.01237988246556E-2</v>
      </c>
      <c r="AX84" s="4">
        <v>4.5320433149192603E-2</v>
      </c>
      <c r="AY84" s="4">
        <v>3.6536041812045998E-2</v>
      </c>
      <c r="AZ84" s="4">
        <v>5.5878765554593902E-2</v>
      </c>
      <c r="BA84" s="4">
        <v>8.1761601775450998E-2</v>
      </c>
      <c r="BB84" s="4">
        <v>6.3704413420300005E-2</v>
      </c>
      <c r="BC84" s="4">
        <v>0.103465302082427</v>
      </c>
      <c r="BD84" s="4">
        <v>8.6097875932419396E-2</v>
      </c>
      <c r="BE84" s="4">
        <v>5.5781493919384799E-2</v>
      </c>
      <c r="BF84" s="4">
        <v>0.12253642088534999</v>
      </c>
      <c r="BG84" s="4">
        <v>8.8920412960522804E-2</v>
      </c>
      <c r="BH84" s="4">
        <v>8.8124895526689007E-2</v>
      </c>
      <c r="BI84" s="4">
        <v>8.9876579094104694E-2</v>
      </c>
      <c r="BJ84" s="4">
        <v>5.6160014738641101E-2</v>
      </c>
      <c r="BK84" s="4">
        <v>6.2287835049908397E-2</v>
      </c>
      <c r="BL84" s="4">
        <v>4.8794727687581099E-2</v>
      </c>
      <c r="BM84" s="4">
        <v>2.1501067046751199E-2</v>
      </c>
      <c r="BN84" s="4">
        <v>2.5444362659618799E-2</v>
      </c>
      <c r="BO84" s="4">
        <v>1.6761452854319198E-2</v>
      </c>
      <c r="BP84" s="4">
        <v>6.2445390034463498E-2</v>
      </c>
      <c r="BQ84" s="4">
        <v>6.5391813647754898E-2</v>
      </c>
      <c r="BR84" s="4">
        <v>5.8903958565591802E-2</v>
      </c>
      <c r="BS84" s="4">
        <v>6.7400289343472905E-2</v>
      </c>
      <c r="BT84" s="4">
        <v>9.7769022054041199E-2</v>
      </c>
      <c r="BU84" s="4">
        <v>3.08988218675126E-2</v>
      </c>
      <c r="BV84" s="4">
        <v>5.22738307202293E-2</v>
      </c>
      <c r="BW84" s="4">
        <v>4.67833427899483E-2</v>
      </c>
      <c r="BX84" s="4">
        <v>5.8873080959754902E-2</v>
      </c>
      <c r="BY84" s="4">
        <v>4.7934378279310401E-2</v>
      </c>
      <c r="BZ84" s="4">
        <v>5.1490055881877501E-2</v>
      </c>
      <c r="CA84" s="4">
        <v>4.36606586084222E-2</v>
      </c>
      <c r="CB84" s="4">
        <v>7.7531874155472094E-2</v>
      </c>
      <c r="CC84" s="4">
        <v>8.86484437666967E-2</v>
      </c>
      <c r="CD84" s="4">
        <v>6.4170397798338594E-2</v>
      </c>
      <c r="CE84" s="4">
        <v>4.1566545498710201E-2</v>
      </c>
      <c r="CF84" s="4">
        <v>4.26447199705366E-2</v>
      </c>
      <c r="CG84" s="4">
        <v>4.0270641886535702E-2</v>
      </c>
      <c r="CH84" s="4">
        <v>6.4186741007181997E-2</v>
      </c>
      <c r="CI84" s="4">
        <v>8.6593178058314804E-2</v>
      </c>
      <c r="CJ84" s="4">
        <v>3.7255494284810203E-2</v>
      </c>
      <c r="CK84" s="4">
        <v>6.06316847470608E-2</v>
      </c>
      <c r="CL84" s="4">
        <v>6.6350329140116404E-2</v>
      </c>
      <c r="CM84" s="4">
        <v>5.3758203581116097E-2</v>
      </c>
      <c r="CN84" s="4">
        <v>3.8222687520445497E-2</v>
      </c>
      <c r="CO84" s="4">
        <v>3.4724438344852601E-2</v>
      </c>
      <c r="CP84" s="4">
        <v>4.2427381529994201E-2</v>
      </c>
      <c r="CQ84" s="4">
        <v>6.4626059365948105E-2</v>
      </c>
      <c r="CR84" s="4">
        <v>5.8204574800957101E-2</v>
      </c>
      <c r="CS84" s="4">
        <v>7.2344313934892601E-2</v>
      </c>
      <c r="CT84" s="1">
        <f>Table1[[#This Row],[Female %]]*Table1[[#This Row],[NWS_pin]]</f>
        <v>0</v>
      </c>
      <c r="CU84" s="1">
        <f>Table1[[#This Row],[Male %]]*Table1[[#This Row],[NWS_pin]]</f>
        <v>0</v>
      </c>
      <c r="CV84" s="1">
        <f>Table1[[#This Row],[Female% (0-2)22]]+Table1[[#This Row],[Male%(0-2)3]]</f>
        <v>0</v>
      </c>
      <c r="CW84" s="1">
        <f>$CT84*Table1[[#This Row],[Female% (0-2)]]</f>
        <v>0</v>
      </c>
      <c r="CX84" s="1">
        <f>$CU84*Table1[[#This Row],[Male%(0-2)]]</f>
        <v>0</v>
      </c>
      <c r="CY84" s="1">
        <f>Table1[[#This Row],[Female%  (3-5)5]]+Table1[[#This Row],[Male% (3-5)6]]</f>
        <v>0</v>
      </c>
      <c r="CZ84" s="1">
        <f>$AF84*Table1[[#This Row],[Female%  (3-5)]]</f>
        <v>0</v>
      </c>
      <c r="DA84" s="1">
        <f>$CU84*Table1[[#This Row],[Male% (3-5)]]</f>
        <v>0</v>
      </c>
      <c r="DB84" s="1">
        <f>Table1[[#This Row],[Female% (6-8)8]]+Table1[[#This Row],[Male%(6-8)9]]</f>
        <v>0</v>
      </c>
      <c r="DC84" s="1">
        <f>$CT84*Table1[[#This Row],[Female% (6-8)]]</f>
        <v>0</v>
      </c>
      <c r="DD84" s="1">
        <f>$CU84*Table1[[#This Row],[Male%(6-8)]]</f>
        <v>0</v>
      </c>
      <c r="DE84" s="1">
        <f>Table1[[#This Row],[Female% (9 - 11)11]]+Table1[[#This Row],[Male% (9 - 11)12]]</f>
        <v>0</v>
      </c>
      <c r="DF84" s="1">
        <f>$CT84*Table1[[#This Row],[Female% (9 - 11)]]</f>
        <v>0</v>
      </c>
      <c r="DG84" s="1">
        <f>$CU84*Table1[[#This Row],[Male% (9 - 11)]]</f>
        <v>0</v>
      </c>
      <c r="DH84" s="1">
        <f>Table1[[#This Row],[Female% (12-14)14]]+Table1[[#This Row],[Male%(12-14)15]]</f>
        <v>0</v>
      </c>
      <c r="DI84" s="1">
        <f>$CT84*Table1[[#This Row],[Female% (12-14)]]</f>
        <v>0</v>
      </c>
      <c r="DJ84" s="1">
        <f>$CU84*Table1[[#This Row],[Male%(12-14)]]</f>
        <v>0</v>
      </c>
      <c r="DK84" s="1">
        <f>Table1[[#This Row],[Female% (15-17)17]]+Table1[[#This Row],[Male%(15-17)18]]</f>
        <v>0</v>
      </c>
      <c r="DL84" s="1">
        <f>$CT84*Table1[[#This Row],[Female% (15-17)]]</f>
        <v>0</v>
      </c>
      <c r="DM84" s="1">
        <f>$CU84*Table1[[#This Row],[Male%(15-17)]]</f>
        <v>0</v>
      </c>
      <c r="DN84" s="1">
        <f>$AF84*Table1[[#This Row],[Total% (18-19)]]</f>
        <v>0</v>
      </c>
      <c r="DO84" s="1">
        <f>$CT84*Table1[[#This Row],[Female% (18-19)]]</f>
        <v>0</v>
      </c>
      <c r="DP84" s="1">
        <f>$CU84*Table1[[#This Row],[Male%(18-19)]]</f>
        <v>0</v>
      </c>
      <c r="DQ84" s="1">
        <f>$AF84*Table1[[#This Row],[Total% (20-24)]]</f>
        <v>0</v>
      </c>
      <c r="DR84" s="1">
        <f>$CT84*Table1[[#This Row],[Female% (20-24)]]</f>
        <v>0</v>
      </c>
      <c r="DS84" s="1">
        <f>$CU84*Table1[[#This Row],[Male% (20-24)]]</f>
        <v>0</v>
      </c>
      <c r="DT84" s="1">
        <f>$AF84*Table1[[#This Row],[Total% (25-29)]]</f>
        <v>0</v>
      </c>
      <c r="DU84" s="1">
        <f>$CT84*Table1[[#This Row],[Female% (25-29)]]</f>
        <v>0</v>
      </c>
      <c r="DV84" s="1">
        <f>$CU84*Table1[[#This Row],[Male% (25-29)]]</f>
        <v>0</v>
      </c>
      <c r="DW84" s="1">
        <f>$AF84*Table1[[#This Row],[Total%   (30-34)]]</f>
        <v>0</v>
      </c>
      <c r="DX84" s="1">
        <f>$CT84*Table1[[#This Row],[Female%   (30-34)]]</f>
        <v>0</v>
      </c>
      <c r="DY84" s="1">
        <f>$CU84*Table1[[#This Row],[Male%  (30-34)]]</f>
        <v>0</v>
      </c>
      <c r="DZ84" s="1">
        <f>$AF84*Table1[[#This Row],[Total% (35-39)]]</f>
        <v>0</v>
      </c>
      <c r="EA84" s="1">
        <f>$CT84*Table1[[#This Row],[Female% (35-39)]]</f>
        <v>0</v>
      </c>
      <c r="EB84" s="1">
        <f>$CU84*Table1[[#This Row],[Male% (35-39)]]</f>
        <v>0</v>
      </c>
      <c r="EC84" s="1">
        <f>$AF84*Table1[[#This Row],[Total% (40-44)]]</f>
        <v>0</v>
      </c>
      <c r="ED84" s="1">
        <f>$CT84*Table1[[#This Row],[Female% (40-44)]]</f>
        <v>0</v>
      </c>
      <c r="EE84" s="1">
        <f>$CU84*Table1[[#This Row],[Male%(55-59)]]</f>
        <v>0</v>
      </c>
      <c r="EF84" s="1">
        <f>$AF84*Table1[[#This Row],[Total% (45-49)]]</f>
        <v>0</v>
      </c>
      <c r="EG84" s="1">
        <f>$CT84*Table1[[#This Row],[Female% (45-49)]]</f>
        <v>0</v>
      </c>
      <c r="EH84" s="1">
        <f>$CU84*Table1[[#This Row],[Male% (45-49)]]</f>
        <v>0</v>
      </c>
      <c r="EI84" s="1">
        <f>$AF84*Table1[[#This Row],[Total% (50-54)]]</f>
        <v>0</v>
      </c>
      <c r="EJ84" s="1">
        <f>$CT84*Table1[[#This Row],[Female%(50-54)]]</f>
        <v>0</v>
      </c>
      <c r="EK84" s="1">
        <f>$CU84*Table1[[#This Row],[Male% (50-54)]]</f>
        <v>0</v>
      </c>
      <c r="EL84" s="1">
        <f>$AF84*Table1[[#This Row],[Total% (55-59)]]</f>
        <v>0</v>
      </c>
      <c r="EM84" s="1">
        <f>$CT84*Table1[[#This Row],[Female% (55-59)]]</f>
        <v>0</v>
      </c>
      <c r="EN84" s="1">
        <f>$CU84*Table1[[#This Row],[Male% (55-59)]]</f>
        <v>0</v>
      </c>
      <c r="EO84" s="1">
        <f>$AF84*Table1[[#This Row],[Total% (60-64)]]</f>
        <v>0</v>
      </c>
      <c r="EP84" s="1">
        <f>$CT84*Table1[[#This Row],[Female%(60-64)]]</f>
        <v>0</v>
      </c>
      <c r="EQ84" s="1">
        <f>$CU84*Table1[[#This Row],[Male%(60-64)]]</f>
        <v>0</v>
      </c>
      <c r="ER84" s="1">
        <f>$AF84*Table1[[#This Row],[Total% (&gt;=65)]]</f>
        <v>0</v>
      </c>
      <c r="ES84" s="1">
        <f>$CT84*Table1[[#This Row],[Female%(&gt;=65)]]</f>
        <v>0</v>
      </c>
      <c r="ET84" s="1">
        <f>$CU84*Table1[[#This Row],[Male% (&gt;=65)]]</f>
        <v>0</v>
      </c>
    </row>
    <row r="85" spans="1:150" hidden="1" x14ac:dyDescent="0.35">
      <c r="A85" t="s">
        <v>17</v>
      </c>
      <c r="B85" t="s">
        <v>18</v>
      </c>
      <c r="C85" t="s">
        <v>17</v>
      </c>
      <c r="D85" t="s">
        <v>19</v>
      </c>
      <c r="E85" t="s">
        <v>126</v>
      </c>
      <c r="F85" t="s">
        <v>127</v>
      </c>
      <c r="H85">
        <v>2</v>
      </c>
      <c r="I85" s="1">
        <v>0</v>
      </c>
      <c r="J85" s="1">
        <v>21670</v>
      </c>
      <c r="K85" s="1">
        <v>7091</v>
      </c>
      <c r="L85" s="1">
        <v>0</v>
      </c>
      <c r="M85" s="1">
        <v>0</v>
      </c>
      <c r="N85" s="1">
        <v>7091</v>
      </c>
      <c r="O85" s="3">
        <v>1</v>
      </c>
      <c r="P85" s="3">
        <v>0</v>
      </c>
      <c r="Q85" s="3">
        <v>0</v>
      </c>
      <c r="R85" s="3">
        <v>0</v>
      </c>
      <c r="S85" s="3">
        <v>0</v>
      </c>
      <c r="T85" s="1">
        <v>28761</v>
      </c>
      <c r="U85" s="1">
        <v>0</v>
      </c>
      <c r="V85" s="10">
        <f>Table1[[#This Row],[Pop NW+RATAA]]*Table1[[#This Row],[Perc_pop_Northern_Aleppo]]</f>
        <v>0</v>
      </c>
      <c r="W85" s="10">
        <f>Table1[[#This Row],[Pop NW+RATAA]]*Table1[[#This Row],[Perc_pop_Afrin District]]</f>
        <v>0</v>
      </c>
      <c r="X85" s="10">
        <f>Table1[[#This Row],[Pop NW+RATAA]]*Table1[[#This Row],[Perc_pop_Euphrates Shiled]]</f>
        <v>0</v>
      </c>
      <c r="Y85" s="10">
        <f>Table1[[#This Row],[Pop NW+RATAA]]*Table1[[#This Row],[Perc_Pop_Idleb_NSAG]]</f>
        <v>0</v>
      </c>
      <c r="Z85" s="3">
        <v>0</v>
      </c>
      <c r="AA85" s="3">
        <v>0</v>
      </c>
      <c r="AB85" s="3">
        <v>0</v>
      </c>
      <c r="AC85" s="3">
        <v>0</v>
      </c>
      <c r="AD85" s="1">
        <v>7091</v>
      </c>
      <c r="AE85" s="1">
        <v>0</v>
      </c>
      <c r="AF85" s="1">
        <v>0</v>
      </c>
      <c r="AG85" s="1">
        <v>0</v>
      </c>
      <c r="AH85" s="1">
        <v>0</v>
      </c>
      <c r="AI85" s="1">
        <f>Table1[[#This Row],[NWS_pin]]*Table1[[#This Row],[Perc_pop_Northern_Aleppo]]</f>
        <v>0</v>
      </c>
      <c r="AJ85" s="1">
        <f>Table1[[#This Row],[NWS_pin]]*Table1[[#This Row],[Perc_pop_Afrin District]]</f>
        <v>0</v>
      </c>
      <c r="AK85" s="1">
        <f>Table1[[#This Row],[NWS_pin]]*Table1[[#This Row],[Perc_pop_Euphrates Shiled]]</f>
        <v>0</v>
      </c>
      <c r="AL85" s="1">
        <f>Table1[[#This Row],[NWS_pin]]*Table1[[#This Row],[Perc_Pop_Idleb_NSAG]]</f>
        <v>0</v>
      </c>
      <c r="AM85" s="4">
        <v>0.511555193876428</v>
      </c>
      <c r="AN85" s="4">
        <v>0.488444806123572</v>
      </c>
      <c r="AO85" s="4">
        <v>0.19305527776388801</v>
      </c>
      <c r="AP85" s="4">
        <v>0.46653926358233799</v>
      </c>
      <c r="AQ85" s="4">
        <v>0.438409647357278</v>
      </c>
      <c r="AR85" s="4">
        <v>8.4273237410398393E-3</v>
      </c>
      <c r="AS85" s="4">
        <v>0</v>
      </c>
      <c r="AT85" s="4">
        <v>8.6623765319343501E-2</v>
      </c>
      <c r="AU85" s="4">
        <v>2.75563456684003E-2</v>
      </c>
      <c r="AV85" s="4">
        <v>4.3271217489050703E-2</v>
      </c>
      <c r="AW85" s="4">
        <v>1.1097936857063199E-2</v>
      </c>
      <c r="AX85" s="4">
        <v>5.5376471598993102E-2</v>
      </c>
      <c r="AY85" s="4">
        <v>4.3008052331041297E-2</v>
      </c>
      <c r="AZ85" s="4">
        <v>6.8330093046574503E-2</v>
      </c>
      <c r="BA85" s="4">
        <v>9.4948112432374304E-2</v>
      </c>
      <c r="BB85" s="4">
        <v>7.77281704578313E-2</v>
      </c>
      <c r="BC85" s="4">
        <v>0.11298280262641799</v>
      </c>
      <c r="BD85" s="4">
        <v>6.9457429328609196E-2</v>
      </c>
      <c r="BE85" s="4">
        <v>5.5109690205481801E-2</v>
      </c>
      <c r="BF85" s="4">
        <v>8.4484020617539804E-2</v>
      </c>
      <c r="BG85" s="4">
        <v>0.101984540400059</v>
      </c>
      <c r="BH85" s="4">
        <v>0.102675696955211</v>
      </c>
      <c r="BI85" s="4">
        <v>0.101260682307728</v>
      </c>
      <c r="BJ85" s="4">
        <v>5.2531247312716502E-2</v>
      </c>
      <c r="BK85" s="4">
        <v>6.0618552674662901E-2</v>
      </c>
      <c r="BL85" s="4">
        <v>4.4061297360332798E-2</v>
      </c>
      <c r="BM85" s="4">
        <v>4.5137770126257998E-2</v>
      </c>
      <c r="BN85" s="4">
        <v>4.3565865595411001E-2</v>
      </c>
      <c r="BO85" s="4">
        <v>4.6784048102708101E-2</v>
      </c>
      <c r="BP85" s="4">
        <v>5.3190776626394397E-2</v>
      </c>
      <c r="BQ85" s="4">
        <v>5.3358677042687902E-2</v>
      </c>
      <c r="BR85" s="4">
        <v>5.3014932131925097E-2</v>
      </c>
      <c r="BS85" s="4">
        <v>4.2874006893564999E-2</v>
      </c>
      <c r="BT85" s="4">
        <v>3.5929232482622302E-2</v>
      </c>
      <c r="BU85" s="4">
        <v>5.0147367927767701E-2</v>
      </c>
      <c r="BV85" s="4">
        <v>5.90151014495073E-2</v>
      </c>
      <c r="BW85" s="4">
        <v>8.2205783775110702E-2</v>
      </c>
      <c r="BX85" s="4">
        <v>3.4727169948400603E-2</v>
      </c>
      <c r="BY85" s="4">
        <v>3.9788639133164702E-2</v>
      </c>
      <c r="BZ85" s="4">
        <v>5.8585000231797503E-2</v>
      </c>
      <c r="CA85" s="4">
        <v>2.0102942764945099E-2</v>
      </c>
      <c r="CB85" s="4">
        <v>7.9671156823933803E-2</v>
      </c>
      <c r="CC85" s="4">
        <v>9.1271911882187501E-2</v>
      </c>
      <c r="CD85" s="4">
        <v>6.7521521023657702E-2</v>
      </c>
      <c r="CE85" s="4">
        <v>5.7178884844262597E-2</v>
      </c>
      <c r="CF85" s="4">
        <v>5.3971383652900003E-2</v>
      </c>
      <c r="CG85" s="4">
        <v>6.0538146470623798E-2</v>
      </c>
      <c r="CH85" s="4">
        <v>5.3102659781688502E-2</v>
      </c>
      <c r="CI85" s="4">
        <v>4.0363292465980499E-2</v>
      </c>
      <c r="CJ85" s="4">
        <v>6.64447803966456E-2</v>
      </c>
      <c r="CK85" s="4">
        <v>2.5061818951524401E-2</v>
      </c>
      <c r="CL85" s="4">
        <v>1.95274620876493E-2</v>
      </c>
      <c r="CM85" s="4">
        <v>3.08580296246392E-2</v>
      </c>
      <c r="CN85" s="4">
        <v>3.1700334767318102E-2</v>
      </c>
      <c r="CO85" s="4">
        <v>3.0392116085434E-2</v>
      </c>
      <c r="CP85" s="4">
        <v>3.3070450803058503E-2</v>
      </c>
      <c r="CQ85" s="4">
        <v>0.111424703861231</v>
      </c>
      <c r="CR85" s="4">
        <v>0.108417894584941</v>
      </c>
      <c r="CS85" s="4">
        <v>0.11457377798997199</v>
      </c>
      <c r="CT85" s="1">
        <f>Table1[[#This Row],[Female %]]*Table1[[#This Row],[NWS_pin]]</f>
        <v>0</v>
      </c>
      <c r="CU85" s="1">
        <f>Table1[[#This Row],[Male %]]*Table1[[#This Row],[NWS_pin]]</f>
        <v>0</v>
      </c>
      <c r="CV85" s="1">
        <f>Table1[[#This Row],[Female% (0-2)22]]+Table1[[#This Row],[Male%(0-2)3]]</f>
        <v>0</v>
      </c>
      <c r="CW85" s="1">
        <f>$CT85*Table1[[#This Row],[Female% (0-2)]]</f>
        <v>0</v>
      </c>
      <c r="CX85" s="1">
        <f>$CU85*Table1[[#This Row],[Male%(0-2)]]</f>
        <v>0</v>
      </c>
      <c r="CY85" s="1">
        <f>Table1[[#This Row],[Female%  (3-5)5]]+Table1[[#This Row],[Male% (3-5)6]]</f>
        <v>0</v>
      </c>
      <c r="CZ85" s="1">
        <f>$AF85*Table1[[#This Row],[Female%  (3-5)]]</f>
        <v>0</v>
      </c>
      <c r="DA85" s="1">
        <f>$CU85*Table1[[#This Row],[Male% (3-5)]]</f>
        <v>0</v>
      </c>
      <c r="DB85" s="1">
        <f>Table1[[#This Row],[Female% (6-8)8]]+Table1[[#This Row],[Male%(6-8)9]]</f>
        <v>0</v>
      </c>
      <c r="DC85" s="1">
        <f>$CT85*Table1[[#This Row],[Female% (6-8)]]</f>
        <v>0</v>
      </c>
      <c r="DD85" s="1">
        <f>$CU85*Table1[[#This Row],[Male%(6-8)]]</f>
        <v>0</v>
      </c>
      <c r="DE85" s="1">
        <f>Table1[[#This Row],[Female% (9 - 11)11]]+Table1[[#This Row],[Male% (9 - 11)12]]</f>
        <v>0</v>
      </c>
      <c r="DF85" s="1">
        <f>$CT85*Table1[[#This Row],[Female% (9 - 11)]]</f>
        <v>0</v>
      </c>
      <c r="DG85" s="1">
        <f>$CU85*Table1[[#This Row],[Male% (9 - 11)]]</f>
        <v>0</v>
      </c>
      <c r="DH85" s="1">
        <f>Table1[[#This Row],[Female% (12-14)14]]+Table1[[#This Row],[Male%(12-14)15]]</f>
        <v>0</v>
      </c>
      <c r="DI85" s="1">
        <f>$CT85*Table1[[#This Row],[Female% (12-14)]]</f>
        <v>0</v>
      </c>
      <c r="DJ85" s="1">
        <f>$CU85*Table1[[#This Row],[Male%(12-14)]]</f>
        <v>0</v>
      </c>
      <c r="DK85" s="1">
        <f>Table1[[#This Row],[Female% (15-17)17]]+Table1[[#This Row],[Male%(15-17)18]]</f>
        <v>0</v>
      </c>
      <c r="DL85" s="1">
        <f>$CT85*Table1[[#This Row],[Female% (15-17)]]</f>
        <v>0</v>
      </c>
      <c r="DM85" s="1">
        <f>$CU85*Table1[[#This Row],[Male%(15-17)]]</f>
        <v>0</v>
      </c>
      <c r="DN85" s="1">
        <f>$AF85*Table1[[#This Row],[Total% (18-19)]]</f>
        <v>0</v>
      </c>
      <c r="DO85" s="1">
        <f>$CT85*Table1[[#This Row],[Female% (18-19)]]</f>
        <v>0</v>
      </c>
      <c r="DP85" s="1">
        <f>$CU85*Table1[[#This Row],[Male%(18-19)]]</f>
        <v>0</v>
      </c>
      <c r="DQ85" s="1">
        <f>$AF85*Table1[[#This Row],[Total% (20-24)]]</f>
        <v>0</v>
      </c>
      <c r="DR85" s="1">
        <f>$CT85*Table1[[#This Row],[Female% (20-24)]]</f>
        <v>0</v>
      </c>
      <c r="DS85" s="1">
        <f>$CU85*Table1[[#This Row],[Male% (20-24)]]</f>
        <v>0</v>
      </c>
      <c r="DT85" s="1">
        <f>$AF85*Table1[[#This Row],[Total% (25-29)]]</f>
        <v>0</v>
      </c>
      <c r="DU85" s="1">
        <f>$CT85*Table1[[#This Row],[Female% (25-29)]]</f>
        <v>0</v>
      </c>
      <c r="DV85" s="1">
        <f>$CU85*Table1[[#This Row],[Male% (25-29)]]</f>
        <v>0</v>
      </c>
      <c r="DW85" s="1">
        <f>$AF85*Table1[[#This Row],[Total%   (30-34)]]</f>
        <v>0</v>
      </c>
      <c r="DX85" s="1">
        <f>$CT85*Table1[[#This Row],[Female%   (30-34)]]</f>
        <v>0</v>
      </c>
      <c r="DY85" s="1">
        <f>$CU85*Table1[[#This Row],[Male%  (30-34)]]</f>
        <v>0</v>
      </c>
      <c r="DZ85" s="1">
        <f>$AF85*Table1[[#This Row],[Total% (35-39)]]</f>
        <v>0</v>
      </c>
      <c r="EA85" s="1">
        <f>$CT85*Table1[[#This Row],[Female% (35-39)]]</f>
        <v>0</v>
      </c>
      <c r="EB85" s="1">
        <f>$CU85*Table1[[#This Row],[Male% (35-39)]]</f>
        <v>0</v>
      </c>
      <c r="EC85" s="1">
        <f>$AF85*Table1[[#This Row],[Total% (40-44)]]</f>
        <v>0</v>
      </c>
      <c r="ED85" s="1">
        <f>$CT85*Table1[[#This Row],[Female% (40-44)]]</f>
        <v>0</v>
      </c>
      <c r="EE85" s="1">
        <f>$CU85*Table1[[#This Row],[Male%(55-59)]]</f>
        <v>0</v>
      </c>
      <c r="EF85" s="1">
        <f>$AF85*Table1[[#This Row],[Total% (45-49)]]</f>
        <v>0</v>
      </c>
      <c r="EG85" s="1">
        <f>$CT85*Table1[[#This Row],[Female% (45-49)]]</f>
        <v>0</v>
      </c>
      <c r="EH85" s="1">
        <f>$CU85*Table1[[#This Row],[Male% (45-49)]]</f>
        <v>0</v>
      </c>
      <c r="EI85" s="1">
        <f>$AF85*Table1[[#This Row],[Total% (50-54)]]</f>
        <v>0</v>
      </c>
      <c r="EJ85" s="1">
        <f>$CT85*Table1[[#This Row],[Female%(50-54)]]</f>
        <v>0</v>
      </c>
      <c r="EK85" s="1">
        <f>$CU85*Table1[[#This Row],[Male% (50-54)]]</f>
        <v>0</v>
      </c>
      <c r="EL85" s="1">
        <f>$AF85*Table1[[#This Row],[Total% (55-59)]]</f>
        <v>0</v>
      </c>
      <c r="EM85" s="1">
        <f>$CT85*Table1[[#This Row],[Female% (55-59)]]</f>
        <v>0</v>
      </c>
      <c r="EN85" s="1">
        <f>$CU85*Table1[[#This Row],[Male% (55-59)]]</f>
        <v>0</v>
      </c>
      <c r="EO85" s="1">
        <f>$AF85*Table1[[#This Row],[Total% (60-64)]]</f>
        <v>0</v>
      </c>
      <c r="EP85" s="1">
        <f>$CT85*Table1[[#This Row],[Female%(60-64)]]</f>
        <v>0</v>
      </c>
      <c r="EQ85" s="1">
        <f>$CU85*Table1[[#This Row],[Male%(60-64)]]</f>
        <v>0</v>
      </c>
      <c r="ER85" s="1">
        <f>$AF85*Table1[[#This Row],[Total% (&gt;=65)]]</f>
        <v>0</v>
      </c>
      <c r="ES85" s="1">
        <f>$CT85*Table1[[#This Row],[Female%(&gt;=65)]]</f>
        <v>0</v>
      </c>
      <c r="ET85" s="1">
        <f>$CU85*Table1[[#This Row],[Male% (&gt;=65)]]</f>
        <v>0</v>
      </c>
    </row>
    <row r="86" spans="1:150" hidden="1" x14ac:dyDescent="0.35">
      <c r="A86" t="s">
        <v>17</v>
      </c>
      <c r="B86" t="s">
        <v>18</v>
      </c>
      <c r="C86" t="s">
        <v>17</v>
      </c>
      <c r="D86" t="s">
        <v>19</v>
      </c>
      <c r="E86" t="s">
        <v>374</v>
      </c>
      <c r="F86" t="s">
        <v>375</v>
      </c>
      <c r="H86">
        <v>3</v>
      </c>
      <c r="I86" s="1">
        <v>0</v>
      </c>
      <c r="J86" s="1">
        <v>4033</v>
      </c>
      <c r="K86" s="1">
        <v>8846</v>
      </c>
      <c r="L86" s="1">
        <v>520</v>
      </c>
      <c r="M86" s="1">
        <v>0</v>
      </c>
      <c r="N86" s="1">
        <v>9366</v>
      </c>
      <c r="O86" s="3">
        <v>1</v>
      </c>
      <c r="P86" s="3">
        <v>0</v>
      </c>
      <c r="Q86" s="3">
        <v>0</v>
      </c>
      <c r="R86" s="3">
        <v>0</v>
      </c>
      <c r="S86" s="3">
        <v>0</v>
      </c>
      <c r="T86" s="1">
        <v>13399</v>
      </c>
      <c r="U86" s="1">
        <v>0</v>
      </c>
      <c r="V86" s="10">
        <f>Table1[[#This Row],[Pop NW+RATAA]]*Table1[[#This Row],[Perc_pop_Northern_Aleppo]]</f>
        <v>0</v>
      </c>
      <c r="W86" s="10">
        <f>Table1[[#This Row],[Pop NW+RATAA]]*Table1[[#This Row],[Perc_pop_Afrin District]]</f>
        <v>0</v>
      </c>
      <c r="X86" s="10">
        <f>Table1[[#This Row],[Pop NW+RATAA]]*Table1[[#This Row],[Perc_pop_Euphrates Shiled]]</f>
        <v>0</v>
      </c>
      <c r="Y86" s="10">
        <f>Table1[[#This Row],[Pop NW+RATAA]]*Table1[[#This Row],[Perc_Pop_Idleb_NSAG]]</f>
        <v>0</v>
      </c>
      <c r="Z86" s="3">
        <v>0</v>
      </c>
      <c r="AA86" s="3">
        <v>0</v>
      </c>
      <c r="AB86" s="3">
        <v>0</v>
      </c>
      <c r="AC86" s="3">
        <v>0</v>
      </c>
      <c r="AD86" s="1">
        <v>9366</v>
      </c>
      <c r="AE86" s="1">
        <v>0</v>
      </c>
      <c r="AF86" s="1">
        <v>0</v>
      </c>
      <c r="AG86" s="1">
        <v>0</v>
      </c>
      <c r="AH86" s="1">
        <v>0</v>
      </c>
      <c r="AI86" s="1">
        <f>Table1[[#This Row],[NWS_pin]]*Table1[[#This Row],[Perc_pop_Northern_Aleppo]]</f>
        <v>0</v>
      </c>
      <c r="AJ86" s="1">
        <f>Table1[[#This Row],[NWS_pin]]*Table1[[#This Row],[Perc_pop_Afrin District]]</f>
        <v>0</v>
      </c>
      <c r="AK86" s="1">
        <f>Table1[[#This Row],[NWS_pin]]*Table1[[#This Row],[Perc_pop_Euphrates Shiled]]</f>
        <v>0</v>
      </c>
      <c r="AL86" s="1">
        <f>Table1[[#This Row],[NWS_pin]]*Table1[[#This Row],[Perc_Pop_Idleb_NSAG]]</f>
        <v>0</v>
      </c>
      <c r="AM86" s="4">
        <v>0.54054054054054101</v>
      </c>
      <c r="AN86" s="4">
        <v>0.45945945945945899</v>
      </c>
      <c r="AO86" s="4">
        <v>0.16187062638675501</v>
      </c>
      <c r="AP86" s="4">
        <v>0.31189710610932497</v>
      </c>
      <c r="AQ86" s="4">
        <v>0.54340836012861704</v>
      </c>
      <c r="AR86" s="4">
        <v>3.53697749196141E-2</v>
      </c>
      <c r="AS86" s="4">
        <v>6.4308681672025697E-3</v>
      </c>
      <c r="AT86" s="4">
        <v>0.102893890675241</v>
      </c>
      <c r="AU86" s="4">
        <v>5.4054054054054099E-2</v>
      </c>
      <c r="AV86" s="4">
        <v>5.5E-2</v>
      </c>
      <c r="AW86" s="4">
        <v>5.29411764705882E-2</v>
      </c>
      <c r="AX86" s="4">
        <v>6.4864864864864896E-2</v>
      </c>
      <c r="AY86" s="4">
        <v>4.4999999999999998E-2</v>
      </c>
      <c r="AZ86" s="4">
        <v>8.8235294117647106E-2</v>
      </c>
      <c r="BA86" s="4">
        <v>5.4054054054054099E-2</v>
      </c>
      <c r="BB86" s="4">
        <v>0.03</v>
      </c>
      <c r="BC86" s="4">
        <v>8.2352941176470601E-2</v>
      </c>
      <c r="BD86" s="4">
        <v>4.3243243243243197E-2</v>
      </c>
      <c r="BE86" s="4">
        <v>0.04</v>
      </c>
      <c r="BF86" s="4">
        <v>4.7058823529411799E-2</v>
      </c>
      <c r="BG86" s="4">
        <v>5.4054054054054099E-2</v>
      </c>
      <c r="BH86" s="4">
        <v>0.03</v>
      </c>
      <c r="BI86" s="4">
        <v>8.2352941176470601E-2</v>
      </c>
      <c r="BJ86" s="4">
        <v>4.59459459459459E-2</v>
      </c>
      <c r="BK86" s="4">
        <v>3.5000000000000003E-2</v>
      </c>
      <c r="BL86" s="4">
        <v>5.8823529411764698E-2</v>
      </c>
      <c r="BM86" s="4">
        <v>2.4324324324324301E-2</v>
      </c>
      <c r="BN86" s="4">
        <v>1.4999999999999999E-2</v>
      </c>
      <c r="BO86" s="4">
        <v>3.5294117647058802E-2</v>
      </c>
      <c r="BP86" s="4">
        <v>4.3243243243243197E-2</v>
      </c>
      <c r="BQ86" s="4">
        <v>7.4999999999999997E-2</v>
      </c>
      <c r="BR86" s="4">
        <v>5.8823529411764696E-3</v>
      </c>
      <c r="BS86" s="4">
        <v>9.1891891891891897E-2</v>
      </c>
      <c r="BT86" s="4">
        <v>0.13</v>
      </c>
      <c r="BU86" s="4">
        <v>4.7058823529411799E-2</v>
      </c>
      <c r="BV86" s="4">
        <v>7.8378378378378397E-2</v>
      </c>
      <c r="BW86" s="4">
        <v>8.5000000000000006E-2</v>
      </c>
      <c r="BX86" s="4">
        <v>7.0588235294117604E-2</v>
      </c>
      <c r="BY86" s="4">
        <v>3.7837837837837798E-2</v>
      </c>
      <c r="BZ86" s="4">
        <v>2.5000000000000001E-2</v>
      </c>
      <c r="CA86" s="4">
        <v>5.29411764705882E-2</v>
      </c>
      <c r="CB86" s="4">
        <v>7.0270270270270302E-2</v>
      </c>
      <c r="CC86" s="4">
        <v>0.1</v>
      </c>
      <c r="CD86" s="4">
        <v>3.5294117647058802E-2</v>
      </c>
      <c r="CE86" s="4">
        <v>4.3243243243243197E-2</v>
      </c>
      <c r="CF86" s="4">
        <v>0.05</v>
      </c>
      <c r="CG86" s="4">
        <v>3.5294117647058802E-2</v>
      </c>
      <c r="CH86" s="4">
        <v>6.21621621621622E-2</v>
      </c>
      <c r="CI86" s="4">
        <v>7.0000000000000007E-2</v>
      </c>
      <c r="CJ86" s="4">
        <v>5.29411764705882E-2</v>
      </c>
      <c r="CK86" s="4">
        <v>6.7567567567567599E-2</v>
      </c>
      <c r="CL86" s="4">
        <v>0.06</v>
      </c>
      <c r="CM86" s="4">
        <v>7.6470588235294096E-2</v>
      </c>
      <c r="CN86" s="4">
        <v>5.4054054054054099E-2</v>
      </c>
      <c r="CO86" s="4">
        <v>0.06</v>
      </c>
      <c r="CP86" s="4">
        <v>4.7058823529411799E-2</v>
      </c>
      <c r="CQ86" s="4">
        <v>0.110810810810811</v>
      </c>
      <c r="CR86" s="4">
        <v>9.5000000000000001E-2</v>
      </c>
      <c r="CS86" s="4">
        <v>0.129411764705882</v>
      </c>
      <c r="CT86" s="1">
        <f>Table1[[#This Row],[Female %]]*Table1[[#This Row],[NWS_pin]]</f>
        <v>0</v>
      </c>
      <c r="CU86" s="1">
        <f>Table1[[#This Row],[Male %]]*Table1[[#This Row],[NWS_pin]]</f>
        <v>0</v>
      </c>
      <c r="CV86" s="1">
        <f>Table1[[#This Row],[Female% (0-2)22]]+Table1[[#This Row],[Male%(0-2)3]]</f>
        <v>0</v>
      </c>
      <c r="CW86" s="1">
        <f>$CT86*Table1[[#This Row],[Female% (0-2)]]</f>
        <v>0</v>
      </c>
      <c r="CX86" s="1">
        <f>$CU86*Table1[[#This Row],[Male%(0-2)]]</f>
        <v>0</v>
      </c>
      <c r="CY86" s="1">
        <f>Table1[[#This Row],[Female%  (3-5)5]]+Table1[[#This Row],[Male% (3-5)6]]</f>
        <v>0</v>
      </c>
      <c r="CZ86" s="1">
        <f>$AF86*Table1[[#This Row],[Female%  (3-5)]]</f>
        <v>0</v>
      </c>
      <c r="DA86" s="1">
        <f>$CU86*Table1[[#This Row],[Male% (3-5)]]</f>
        <v>0</v>
      </c>
      <c r="DB86" s="1">
        <f>Table1[[#This Row],[Female% (6-8)8]]+Table1[[#This Row],[Male%(6-8)9]]</f>
        <v>0</v>
      </c>
      <c r="DC86" s="1">
        <f>$CT86*Table1[[#This Row],[Female% (6-8)]]</f>
        <v>0</v>
      </c>
      <c r="DD86" s="1">
        <f>$CU86*Table1[[#This Row],[Male%(6-8)]]</f>
        <v>0</v>
      </c>
      <c r="DE86" s="1">
        <f>Table1[[#This Row],[Female% (9 - 11)11]]+Table1[[#This Row],[Male% (9 - 11)12]]</f>
        <v>0</v>
      </c>
      <c r="DF86" s="1">
        <f>$CT86*Table1[[#This Row],[Female% (9 - 11)]]</f>
        <v>0</v>
      </c>
      <c r="DG86" s="1">
        <f>$CU86*Table1[[#This Row],[Male% (9 - 11)]]</f>
        <v>0</v>
      </c>
      <c r="DH86" s="1">
        <f>Table1[[#This Row],[Female% (12-14)14]]+Table1[[#This Row],[Male%(12-14)15]]</f>
        <v>0</v>
      </c>
      <c r="DI86" s="1">
        <f>$CT86*Table1[[#This Row],[Female% (12-14)]]</f>
        <v>0</v>
      </c>
      <c r="DJ86" s="1">
        <f>$CU86*Table1[[#This Row],[Male%(12-14)]]</f>
        <v>0</v>
      </c>
      <c r="DK86" s="1">
        <f>Table1[[#This Row],[Female% (15-17)17]]+Table1[[#This Row],[Male%(15-17)18]]</f>
        <v>0</v>
      </c>
      <c r="DL86" s="1">
        <f>$CT86*Table1[[#This Row],[Female% (15-17)]]</f>
        <v>0</v>
      </c>
      <c r="DM86" s="1">
        <f>$CU86*Table1[[#This Row],[Male%(15-17)]]</f>
        <v>0</v>
      </c>
      <c r="DN86" s="1">
        <f>$AF86*Table1[[#This Row],[Total% (18-19)]]</f>
        <v>0</v>
      </c>
      <c r="DO86" s="1">
        <f>$CT86*Table1[[#This Row],[Female% (18-19)]]</f>
        <v>0</v>
      </c>
      <c r="DP86" s="1">
        <f>$CU86*Table1[[#This Row],[Male%(18-19)]]</f>
        <v>0</v>
      </c>
      <c r="DQ86" s="1">
        <f>$AF86*Table1[[#This Row],[Total% (20-24)]]</f>
        <v>0</v>
      </c>
      <c r="DR86" s="1">
        <f>$CT86*Table1[[#This Row],[Female% (20-24)]]</f>
        <v>0</v>
      </c>
      <c r="DS86" s="1">
        <f>$CU86*Table1[[#This Row],[Male% (20-24)]]</f>
        <v>0</v>
      </c>
      <c r="DT86" s="1">
        <f>$AF86*Table1[[#This Row],[Total% (25-29)]]</f>
        <v>0</v>
      </c>
      <c r="DU86" s="1">
        <f>$CT86*Table1[[#This Row],[Female% (25-29)]]</f>
        <v>0</v>
      </c>
      <c r="DV86" s="1">
        <f>$CU86*Table1[[#This Row],[Male% (25-29)]]</f>
        <v>0</v>
      </c>
      <c r="DW86" s="1">
        <f>$AF86*Table1[[#This Row],[Total%   (30-34)]]</f>
        <v>0</v>
      </c>
      <c r="DX86" s="1">
        <f>$CT86*Table1[[#This Row],[Female%   (30-34)]]</f>
        <v>0</v>
      </c>
      <c r="DY86" s="1">
        <f>$CU86*Table1[[#This Row],[Male%  (30-34)]]</f>
        <v>0</v>
      </c>
      <c r="DZ86" s="1">
        <f>$AF86*Table1[[#This Row],[Total% (35-39)]]</f>
        <v>0</v>
      </c>
      <c r="EA86" s="1">
        <f>$CT86*Table1[[#This Row],[Female% (35-39)]]</f>
        <v>0</v>
      </c>
      <c r="EB86" s="1">
        <f>$CU86*Table1[[#This Row],[Male% (35-39)]]</f>
        <v>0</v>
      </c>
      <c r="EC86" s="1">
        <f>$AF86*Table1[[#This Row],[Total% (40-44)]]</f>
        <v>0</v>
      </c>
      <c r="ED86" s="1">
        <f>$CT86*Table1[[#This Row],[Female% (40-44)]]</f>
        <v>0</v>
      </c>
      <c r="EE86" s="1">
        <f>$CU86*Table1[[#This Row],[Male%(55-59)]]</f>
        <v>0</v>
      </c>
      <c r="EF86" s="1">
        <f>$AF86*Table1[[#This Row],[Total% (45-49)]]</f>
        <v>0</v>
      </c>
      <c r="EG86" s="1">
        <f>$CT86*Table1[[#This Row],[Female% (45-49)]]</f>
        <v>0</v>
      </c>
      <c r="EH86" s="1">
        <f>$CU86*Table1[[#This Row],[Male% (45-49)]]</f>
        <v>0</v>
      </c>
      <c r="EI86" s="1">
        <f>$AF86*Table1[[#This Row],[Total% (50-54)]]</f>
        <v>0</v>
      </c>
      <c r="EJ86" s="1">
        <f>$CT86*Table1[[#This Row],[Female%(50-54)]]</f>
        <v>0</v>
      </c>
      <c r="EK86" s="1">
        <f>$CU86*Table1[[#This Row],[Male% (50-54)]]</f>
        <v>0</v>
      </c>
      <c r="EL86" s="1">
        <f>$AF86*Table1[[#This Row],[Total% (55-59)]]</f>
        <v>0</v>
      </c>
      <c r="EM86" s="1">
        <f>$CT86*Table1[[#This Row],[Female% (55-59)]]</f>
        <v>0</v>
      </c>
      <c r="EN86" s="1">
        <f>$CU86*Table1[[#This Row],[Male% (55-59)]]</f>
        <v>0</v>
      </c>
      <c r="EO86" s="1">
        <f>$AF86*Table1[[#This Row],[Total% (60-64)]]</f>
        <v>0</v>
      </c>
      <c r="EP86" s="1">
        <f>$CT86*Table1[[#This Row],[Female%(60-64)]]</f>
        <v>0</v>
      </c>
      <c r="EQ86" s="1">
        <f>$CU86*Table1[[#This Row],[Male%(60-64)]]</f>
        <v>0</v>
      </c>
      <c r="ER86" s="1">
        <f>$AF86*Table1[[#This Row],[Total% (&gt;=65)]]</f>
        <v>0</v>
      </c>
      <c r="ES86" s="1">
        <f>$CT86*Table1[[#This Row],[Female%(&gt;=65)]]</f>
        <v>0</v>
      </c>
      <c r="ET86" s="1">
        <f>$CU86*Table1[[#This Row],[Male% (&gt;=65)]]</f>
        <v>0</v>
      </c>
    </row>
    <row r="87" spans="1:150" hidden="1" x14ac:dyDescent="0.35">
      <c r="A87" t="s">
        <v>17</v>
      </c>
      <c r="B87" t="s">
        <v>18</v>
      </c>
      <c r="C87" t="s">
        <v>17</v>
      </c>
      <c r="D87" t="s">
        <v>19</v>
      </c>
      <c r="E87" t="s">
        <v>593</v>
      </c>
      <c r="F87" t="s">
        <v>594</v>
      </c>
      <c r="H87">
        <v>3</v>
      </c>
      <c r="I87" s="1">
        <v>0</v>
      </c>
      <c r="J87" s="1">
        <v>2955</v>
      </c>
      <c r="K87" s="1">
        <v>985</v>
      </c>
      <c r="L87" s="1">
        <v>0</v>
      </c>
      <c r="M87" s="1">
        <v>0</v>
      </c>
      <c r="N87" s="1">
        <v>985</v>
      </c>
      <c r="O87" s="3">
        <v>1</v>
      </c>
      <c r="P87" s="3">
        <v>0</v>
      </c>
      <c r="Q87" s="3">
        <v>0</v>
      </c>
      <c r="R87" s="3">
        <v>0</v>
      </c>
      <c r="S87" s="3">
        <v>0</v>
      </c>
      <c r="T87" s="1">
        <v>3940</v>
      </c>
      <c r="U87" s="1">
        <v>0</v>
      </c>
      <c r="V87" s="10">
        <f>Table1[[#This Row],[Pop NW+RATAA]]*Table1[[#This Row],[Perc_pop_Northern_Aleppo]]</f>
        <v>0</v>
      </c>
      <c r="W87" s="10">
        <f>Table1[[#This Row],[Pop NW+RATAA]]*Table1[[#This Row],[Perc_pop_Afrin District]]</f>
        <v>0</v>
      </c>
      <c r="X87" s="10">
        <f>Table1[[#This Row],[Pop NW+RATAA]]*Table1[[#This Row],[Perc_pop_Euphrates Shiled]]</f>
        <v>0</v>
      </c>
      <c r="Y87" s="10">
        <f>Table1[[#This Row],[Pop NW+RATAA]]*Table1[[#This Row],[Perc_Pop_Idleb_NSAG]]</f>
        <v>0</v>
      </c>
      <c r="Z87" s="3">
        <v>0</v>
      </c>
      <c r="AA87" s="3">
        <v>0</v>
      </c>
      <c r="AB87" s="3">
        <v>0</v>
      </c>
      <c r="AC87" s="3">
        <v>0</v>
      </c>
      <c r="AD87" s="1">
        <v>985</v>
      </c>
      <c r="AE87" s="1">
        <v>0</v>
      </c>
      <c r="AF87" s="1">
        <v>0</v>
      </c>
      <c r="AG87" s="1">
        <v>0</v>
      </c>
      <c r="AH87" s="1">
        <v>0</v>
      </c>
      <c r="AI87" s="1">
        <f>Table1[[#This Row],[NWS_pin]]*Table1[[#This Row],[Perc_pop_Northern_Aleppo]]</f>
        <v>0</v>
      </c>
      <c r="AJ87" s="1">
        <f>Table1[[#This Row],[NWS_pin]]*Table1[[#This Row],[Perc_pop_Afrin District]]</f>
        <v>0</v>
      </c>
      <c r="AK87" s="1">
        <f>Table1[[#This Row],[NWS_pin]]*Table1[[#This Row],[Perc_pop_Euphrates Shiled]]</f>
        <v>0</v>
      </c>
      <c r="AL87" s="1">
        <f>Table1[[#This Row],[NWS_pin]]*Table1[[#This Row],[Perc_Pop_Idleb_NSAG]]</f>
        <v>0</v>
      </c>
      <c r="AM87" s="4">
        <v>0.574661761955234</v>
      </c>
      <c r="AN87" s="4">
        <v>0.425338238044766</v>
      </c>
      <c r="AO87" s="4">
        <v>0.26074761904761901</v>
      </c>
      <c r="AP87" s="4">
        <v>0.46782721289069501</v>
      </c>
      <c r="AQ87" s="4">
        <v>0.49289645002337901</v>
      </c>
      <c r="AR87" s="4">
        <v>0</v>
      </c>
      <c r="AS87" s="4">
        <v>0</v>
      </c>
      <c r="AT87" s="4">
        <v>3.9276337085925997E-2</v>
      </c>
      <c r="AU87" s="4">
        <v>8.5105056424964205E-3</v>
      </c>
      <c r="AV87" s="4">
        <v>9.8730606488011304E-3</v>
      </c>
      <c r="AW87" s="4">
        <v>6.6695983582527102E-3</v>
      </c>
      <c r="AX87" s="4">
        <v>5.86071450838581E-2</v>
      </c>
      <c r="AY87" s="4">
        <v>6.4174894217207304E-2</v>
      </c>
      <c r="AZ87" s="4">
        <v>5.1084725886836699E-2</v>
      </c>
      <c r="BA87" s="4">
        <v>9.3553214040775601E-2</v>
      </c>
      <c r="BB87" s="4">
        <v>6.7429749376152801E-2</v>
      </c>
      <c r="BC87" s="4">
        <v>0.12884784520668399</v>
      </c>
      <c r="BD87" s="4">
        <v>9.1682773240226903E-2</v>
      </c>
      <c r="BE87" s="4">
        <v>9.2112400998155597E-2</v>
      </c>
      <c r="BF87" s="4">
        <v>9.1102316036353007E-2</v>
      </c>
      <c r="BG87" s="4">
        <v>9.6390049254941101E-2</v>
      </c>
      <c r="BH87" s="4">
        <v>9.3685580991645895E-2</v>
      </c>
      <c r="BI87" s="4">
        <v>0.10004397537379101</v>
      </c>
      <c r="BJ87" s="4">
        <v>0.103030114096889</v>
      </c>
      <c r="BK87" s="4">
        <v>0.124986438103504</v>
      </c>
      <c r="BL87" s="4">
        <v>7.33655819407798E-2</v>
      </c>
      <c r="BM87" s="4">
        <v>3.8749298584699797E-2</v>
      </c>
      <c r="BN87" s="4">
        <v>4.27470977541499E-2</v>
      </c>
      <c r="BO87" s="4">
        <v>3.33479917912635E-2</v>
      </c>
      <c r="BP87" s="4">
        <v>2.8368352141654701E-2</v>
      </c>
      <c r="BQ87" s="4">
        <v>4.4428772919605099E-2</v>
      </c>
      <c r="BR87" s="4">
        <v>6.6695983582527102E-3</v>
      </c>
      <c r="BS87" s="4">
        <v>5.6736704283309403E-2</v>
      </c>
      <c r="BT87" s="4">
        <v>8.3921015514809599E-2</v>
      </c>
      <c r="BU87" s="4">
        <v>2.0008795074758098E-2</v>
      </c>
      <c r="BV87" s="4">
        <v>5.19670802419104E-2</v>
      </c>
      <c r="BW87" s="4">
        <v>5.5875013561896503E-2</v>
      </c>
      <c r="BX87" s="4">
        <v>4.6687188507768998E-2</v>
      </c>
      <c r="BY87" s="4">
        <v>6.8084045139971294E-2</v>
      </c>
      <c r="BZ87" s="4">
        <v>7.40479548660085E-2</v>
      </c>
      <c r="CA87" s="4">
        <v>6.0026385224274399E-2</v>
      </c>
      <c r="CB87" s="4">
        <v>7.3695367541617304E-2</v>
      </c>
      <c r="CC87" s="4">
        <v>7.06846045350982E-2</v>
      </c>
      <c r="CD87" s="4">
        <v>7.7763119319847598E-2</v>
      </c>
      <c r="CE87" s="4">
        <v>5.19670802419104E-2</v>
      </c>
      <c r="CF87" s="4">
        <v>3.9492242595204501E-2</v>
      </c>
      <c r="CG87" s="4">
        <v>6.8821459982409905E-2</v>
      </c>
      <c r="CH87" s="4">
        <v>6.1443980298023601E-2</v>
      </c>
      <c r="CI87" s="4">
        <v>5.9238363892806803E-2</v>
      </c>
      <c r="CJ87" s="4">
        <v>6.4423922603342093E-2</v>
      </c>
      <c r="CK87" s="4">
        <v>5.6736704283309403E-2</v>
      </c>
      <c r="CL87" s="4">
        <v>2.46826516220028E-2</v>
      </c>
      <c r="CM87" s="4">
        <v>0.10004397537379101</v>
      </c>
      <c r="CN87" s="4">
        <v>3.30756281563689E-2</v>
      </c>
      <c r="CO87" s="4">
        <v>3.2874037105348801E-2</v>
      </c>
      <c r="CP87" s="4">
        <v>3.33479917912635E-2</v>
      </c>
      <c r="CQ87" s="4">
        <v>2.7401957728037898E-2</v>
      </c>
      <c r="CR87" s="4">
        <v>1.9746121297602299E-2</v>
      </c>
      <c r="CS87" s="4">
        <v>3.7745529170331298E-2</v>
      </c>
      <c r="CT87" s="1">
        <f>Table1[[#This Row],[Female %]]*Table1[[#This Row],[NWS_pin]]</f>
        <v>0</v>
      </c>
      <c r="CU87" s="1">
        <f>Table1[[#This Row],[Male %]]*Table1[[#This Row],[NWS_pin]]</f>
        <v>0</v>
      </c>
      <c r="CV87" s="1">
        <f>Table1[[#This Row],[Female% (0-2)22]]+Table1[[#This Row],[Male%(0-2)3]]</f>
        <v>0</v>
      </c>
      <c r="CW87" s="1">
        <f>$CT87*Table1[[#This Row],[Female% (0-2)]]</f>
        <v>0</v>
      </c>
      <c r="CX87" s="1">
        <f>$CU87*Table1[[#This Row],[Male%(0-2)]]</f>
        <v>0</v>
      </c>
      <c r="CY87" s="1">
        <f>Table1[[#This Row],[Female%  (3-5)5]]+Table1[[#This Row],[Male% (3-5)6]]</f>
        <v>0</v>
      </c>
      <c r="CZ87" s="1">
        <f>$AF87*Table1[[#This Row],[Female%  (3-5)]]</f>
        <v>0</v>
      </c>
      <c r="DA87" s="1">
        <f>$CU87*Table1[[#This Row],[Male% (3-5)]]</f>
        <v>0</v>
      </c>
      <c r="DB87" s="1">
        <f>Table1[[#This Row],[Female% (6-8)8]]+Table1[[#This Row],[Male%(6-8)9]]</f>
        <v>0</v>
      </c>
      <c r="DC87" s="1">
        <f>$CT87*Table1[[#This Row],[Female% (6-8)]]</f>
        <v>0</v>
      </c>
      <c r="DD87" s="1">
        <f>$CU87*Table1[[#This Row],[Male%(6-8)]]</f>
        <v>0</v>
      </c>
      <c r="DE87" s="1">
        <f>Table1[[#This Row],[Female% (9 - 11)11]]+Table1[[#This Row],[Male% (9 - 11)12]]</f>
        <v>0</v>
      </c>
      <c r="DF87" s="1">
        <f>$CT87*Table1[[#This Row],[Female% (9 - 11)]]</f>
        <v>0</v>
      </c>
      <c r="DG87" s="1">
        <f>$CU87*Table1[[#This Row],[Male% (9 - 11)]]</f>
        <v>0</v>
      </c>
      <c r="DH87" s="1">
        <f>Table1[[#This Row],[Female% (12-14)14]]+Table1[[#This Row],[Male%(12-14)15]]</f>
        <v>0</v>
      </c>
      <c r="DI87" s="1">
        <f>$CT87*Table1[[#This Row],[Female% (12-14)]]</f>
        <v>0</v>
      </c>
      <c r="DJ87" s="1">
        <f>$CU87*Table1[[#This Row],[Male%(12-14)]]</f>
        <v>0</v>
      </c>
      <c r="DK87" s="1">
        <f>Table1[[#This Row],[Female% (15-17)17]]+Table1[[#This Row],[Male%(15-17)18]]</f>
        <v>0</v>
      </c>
      <c r="DL87" s="1">
        <f>$CT87*Table1[[#This Row],[Female% (15-17)]]</f>
        <v>0</v>
      </c>
      <c r="DM87" s="1">
        <f>$CU87*Table1[[#This Row],[Male%(15-17)]]</f>
        <v>0</v>
      </c>
      <c r="DN87" s="1">
        <f>$AF87*Table1[[#This Row],[Total% (18-19)]]</f>
        <v>0</v>
      </c>
      <c r="DO87" s="1">
        <f>$CT87*Table1[[#This Row],[Female% (18-19)]]</f>
        <v>0</v>
      </c>
      <c r="DP87" s="1">
        <f>$CU87*Table1[[#This Row],[Male%(18-19)]]</f>
        <v>0</v>
      </c>
      <c r="DQ87" s="1">
        <f>$AF87*Table1[[#This Row],[Total% (20-24)]]</f>
        <v>0</v>
      </c>
      <c r="DR87" s="1">
        <f>$CT87*Table1[[#This Row],[Female% (20-24)]]</f>
        <v>0</v>
      </c>
      <c r="DS87" s="1">
        <f>$CU87*Table1[[#This Row],[Male% (20-24)]]</f>
        <v>0</v>
      </c>
      <c r="DT87" s="1">
        <f>$AF87*Table1[[#This Row],[Total% (25-29)]]</f>
        <v>0</v>
      </c>
      <c r="DU87" s="1">
        <f>$CT87*Table1[[#This Row],[Female% (25-29)]]</f>
        <v>0</v>
      </c>
      <c r="DV87" s="1">
        <f>$CU87*Table1[[#This Row],[Male% (25-29)]]</f>
        <v>0</v>
      </c>
      <c r="DW87" s="1">
        <f>$AF87*Table1[[#This Row],[Total%   (30-34)]]</f>
        <v>0</v>
      </c>
      <c r="DX87" s="1">
        <f>$CT87*Table1[[#This Row],[Female%   (30-34)]]</f>
        <v>0</v>
      </c>
      <c r="DY87" s="1">
        <f>$CU87*Table1[[#This Row],[Male%  (30-34)]]</f>
        <v>0</v>
      </c>
      <c r="DZ87" s="1">
        <f>$AF87*Table1[[#This Row],[Total% (35-39)]]</f>
        <v>0</v>
      </c>
      <c r="EA87" s="1">
        <f>$CT87*Table1[[#This Row],[Female% (35-39)]]</f>
        <v>0</v>
      </c>
      <c r="EB87" s="1">
        <f>$CU87*Table1[[#This Row],[Male% (35-39)]]</f>
        <v>0</v>
      </c>
      <c r="EC87" s="1">
        <f>$AF87*Table1[[#This Row],[Total% (40-44)]]</f>
        <v>0</v>
      </c>
      <c r="ED87" s="1">
        <f>$CT87*Table1[[#This Row],[Female% (40-44)]]</f>
        <v>0</v>
      </c>
      <c r="EE87" s="1">
        <f>$CU87*Table1[[#This Row],[Male%(55-59)]]</f>
        <v>0</v>
      </c>
      <c r="EF87" s="1">
        <f>$AF87*Table1[[#This Row],[Total% (45-49)]]</f>
        <v>0</v>
      </c>
      <c r="EG87" s="1">
        <f>$CT87*Table1[[#This Row],[Female% (45-49)]]</f>
        <v>0</v>
      </c>
      <c r="EH87" s="1">
        <f>$CU87*Table1[[#This Row],[Male% (45-49)]]</f>
        <v>0</v>
      </c>
      <c r="EI87" s="1">
        <f>$AF87*Table1[[#This Row],[Total% (50-54)]]</f>
        <v>0</v>
      </c>
      <c r="EJ87" s="1">
        <f>$CT87*Table1[[#This Row],[Female%(50-54)]]</f>
        <v>0</v>
      </c>
      <c r="EK87" s="1">
        <f>$CU87*Table1[[#This Row],[Male% (50-54)]]</f>
        <v>0</v>
      </c>
      <c r="EL87" s="1">
        <f>$AF87*Table1[[#This Row],[Total% (55-59)]]</f>
        <v>0</v>
      </c>
      <c r="EM87" s="1">
        <f>$CT87*Table1[[#This Row],[Female% (55-59)]]</f>
        <v>0</v>
      </c>
      <c r="EN87" s="1">
        <f>$CU87*Table1[[#This Row],[Male% (55-59)]]</f>
        <v>0</v>
      </c>
      <c r="EO87" s="1">
        <f>$AF87*Table1[[#This Row],[Total% (60-64)]]</f>
        <v>0</v>
      </c>
      <c r="EP87" s="1">
        <f>$CT87*Table1[[#This Row],[Female%(60-64)]]</f>
        <v>0</v>
      </c>
      <c r="EQ87" s="1">
        <f>$CU87*Table1[[#This Row],[Male%(60-64)]]</f>
        <v>0</v>
      </c>
      <c r="ER87" s="1">
        <f>$AF87*Table1[[#This Row],[Total% (&gt;=65)]]</f>
        <v>0</v>
      </c>
      <c r="ES87" s="1">
        <f>$CT87*Table1[[#This Row],[Female%(&gt;=65)]]</f>
        <v>0</v>
      </c>
      <c r="ET87" s="1">
        <f>$CU87*Table1[[#This Row],[Male% (&gt;=65)]]</f>
        <v>0</v>
      </c>
    </row>
    <row r="88" spans="1:150" hidden="1" x14ac:dyDescent="0.35">
      <c r="A88" t="s">
        <v>17</v>
      </c>
      <c r="B88" t="s">
        <v>18</v>
      </c>
      <c r="C88" t="s">
        <v>17</v>
      </c>
      <c r="D88" t="s">
        <v>19</v>
      </c>
      <c r="E88" t="s">
        <v>215</v>
      </c>
      <c r="F88" t="s">
        <v>216</v>
      </c>
      <c r="H88">
        <v>3</v>
      </c>
      <c r="I88" s="1">
        <v>0</v>
      </c>
      <c r="J88" s="1">
        <v>20523</v>
      </c>
      <c r="K88" s="1">
        <v>26573</v>
      </c>
      <c r="L88" s="1">
        <v>0</v>
      </c>
      <c r="M88" s="1">
        <v>0</v>
      </c>
      <c r="N88" s="1">
        <v>26573</v>
      </c>
      <c r="O88" s="3">
        <v>1</v>
      </c>
      <c r="P88" s="3">
        <v>0</v>
      </c>
      <c r="Q88" s="3">
        <v>0</v>
      </c>
      <c r="R88" s="3">
        <v>0</v>
      </c>
      <c r="S88" s="3">
        <v>0</v>
      </c>
      <c r="T88" s="1">
        <v>47096</v>
      </c>
      <c r="U88" s="1">
        <v>0</v>
      </c>
      <c r="V88" s="10">
        <f>Table1[[#This Row],[Pop NW+RATAA]]*Table1[[#This Row],[Perc_pop_Northern_Aleppo]]</f>
        <v>0</v>
      </c>
      <c r="W88" s="10">
        <f>Table1[[#This Row],[Pop NW+RATAA]]*Table1[[#This Row],[Perc_pop_Afrin District]]</f>
        <v>0</v>
      </c>
      <c r="X88" s="10">
        <f>Table1[[#This Row],[Pop NW+RATAA]]*Table1[[#This Row],[Perc_pop_Euphrates Shiled]]</f>
        <v>0</v>
      </c>
      <c r="Y88" s="10">
        <f>Table1[[#This Row],[Pop NW+RATAA]]*Table1[[#This Row],[Perc_Pop_Idleb_NSAG]]</f>
        <v>0</v>
      </c>
      <c r="Z88" s="3">
        <v>0</v>
      </c>
      <c r="AA88" s="3">
        <v>0</v>
      </c>
      <c r="AB88" s="3">
        <v>0</v>
      </c>
      <c r="AC88" s="3">
        <v>0</v>
      </c>
      <c r="AD88" s="1">
        <v>26573</v>
      </c>
      <c r="AE88" s="1">
        <v>0</v>
      </c>
      <c r="AF88" s="1">
        <v>0</v>
      </c>
      <c r="AG88" s="1">
        <v>0</v>
      </c>
      <c r="AH88" s="1">
        <v>0</v>
      </c>
      <c r="AI88" s="1">
        <f>Table1[[#This Row],[NWS_pin]]*Table1[[#This Row],[Perc_pop_Northern_Aleppo]]</f>
        <v>0</v>
      </c>
      <c r="AJ88" s="1">
        <f>Table1[[#This Row],[NWS_pin]]*Table1[[#This Row],[Perc_pop_Afrin District]]</f>
        <v>0</v>
      </c>
      <c r="AK88" s="1">
        <f>Table1[[#This Row],[NWS_pin]]*Table1[[#This Row],[Perc_pop_Euphrates Shiled]]</f>
        <v>0</v>
      </c>
      <c r="AL88" s="1">
        <f>Table1[[#This Row],[NWS_pin]]*Table1[[#This Row],[Perc_Pop_Idleb_NSAG]]</f>
        <v>0</v>
      </c>
      <c r="AM88" s="4">
        <v>0.58340976741621398</v>
      </c>
      <c r="AN88" s="4">
        <v>0.41659023258378602</v>
      </c>
      <c r="AO88" s="4">
        <v>0.22706789128800101</v>
      </c>
      <c r="AP88" s="4">
        <v>0.35158214648784297</v>
      </c>
      <c r="AQ88" s="4">
        <v>0.52577022596711398</v>
      </c>
      <c r="AR88" s="4">
        <v>5.8479328862156999E-3</v>
      </c>
      <c r="AS88" s="4">
        <v>0</v>
      </c>
      <c r="AT88" s="4">
        <v>0.116799694658827</v>
      </c>
      <c r="AU88" s="4">
        <v>3.01281201862287E-2</v>
      </c>
      <c r="AV88" s="4">
        <v>1.26119485173789E-2</v>
      </c>
      <c r="AW88" s="4">
        <v>5.4658473612819898E-2</v>
      </c>
      <c r="AX88" s="4">
        <v>2.33164252741952E-2</v>
      </c>
      <c r="AY88" s="4">
        <v>1.6629574531302899E-2</v>
      </c>
      <c r="AZ88" s="4">
        <v>3.2680960809418402E-2</v>
      </c>
      <c r="BA88" s="4">
        <v>4.2657735843498301E-2</v>
      </c>
      <c r="BB88" s="4">
        <v>2.97350376628489E-2</v>
      </c>
      <c r="BC88" s="4">
        <v>6.0755203691466302E-2</v>
      </c>
      <c r="BD88" s="4">
        <v>7.2594595251587402E-2</v>
      </c>
      <c r="BE88" s="4">
        <v>5.8054708997822099E-2</v>
      </c>
      <c r="BF88" s="4">
        <v>9.2956838516283599E-2</v>
      </c>
      <c r="BG88" s="4">
        <v>3.5238396162944198E-2</v>
      </c>
      <c r="BH88" s="4">
        <v>3.4475893014289299E-2</v>
      </c>
      <c r="BI88" s="4">
        <v>3.6306236332531903E-2</v>
      </c>
      <c r="BJ88" s="4">
        <v>5.6672244422139598E-2</v>
      </c>
      <c r="BK88" s="4">
        <v>4.3592935595598299E-2</v>
      </c>
      <c r="BL88" s="4">
        <v>7.4989036136459505E-2</v>
      </c>
      <c r="BM88" s="4">
        <v>1.3971134892574E-2</v>
      </c>
      <c r="BN88" s="4">
        <v>1.5172599755078699E-2</v>
      </c>
      <c r="BO88" s="4">
        <v>1.22885550307151E-2</v>
      </c>
      <c r="BP88" s="4">
        <v>6.5967802360428998E-2</v>
      </c>
      <c r="BQ88" s="4">
        <v>9.2625120807229094E-2</v>
      </c>
      <c r="BR88" s="4">
        <v>2.86358182221314E-2</v>
      </c>
      <c r="BS88" s="4">
        <v>0.102701709182732</v>
      </c>
      <c r="BT88" s="4">
        <v>0.15176009727005599</v>
      </c>
      <c r="BU88" s="4">
        <v>3.3998363436180797E-2</v>
      </c>
      <c r="BV88" s="4">
        <v>0.11241149473711</v>
      </c>
      <c r="BW88" s="4">
        <v>0.113795424627724</v>
      </c>
      <c r="BX88" s="4">
        <v>0.11047338348904601</v>
      </c>
      <c r="BY88" s="4">
        <v>5.8268581144060402E-2</v>
      </c>
      <c r="BZ88" s="4">
        <v>6.0203490923593297E-2</v>
      </c>
      <c r="CA88" s="4">
        <v>5.55588554324246E-2</v>
      </c>
      <c r="CB88" s="4">
        <v>6.1610780184850202E-2</v>
      </c>
      <c r="CC88" s="4">
        <v>6.4424672374092995E-2</v>
      </c>
      <c r="CD88" s="4">
        <v>5.7670092047544301E-2</v>
      </c>
      <c r="CE88" s="4">
        <v>6.3627244838345295E-2</v>
      </c>
      <c r="CF88" s="4">
        <v>6.2915553645928199E-2</v>
      </c>
      <c r="CG88" s="4">
        <v>6.4623925894607803E-2</v>
      </c>
      <c r="CH88" s="4">
        <v>5.7400139601181399E-2</v>
      </c>
      <c r="CI88" s="4">
        <v>6.7631821305053505E-2</v>
      </c>
      <c r="CJ88" s="4">
        <v>4.3071279785841902E-2</v>
      </c>
      <c r="CK88" s="4">
        <v>8.9046935906033103E-2</v>
      </c>
      <c r="CL88" s="4">
        <v>8.0569730154563604E-2</v>
      </c>
      <c r="CM88" s="4">
        <v>0.100918756820148</v>
      </c>
      <c r="CN88" s="4">
        <v>8.3561167813646003E-2</v>
      </c>
      <c r="CO88" s="4">
        <v>7.8861305115581204E-2</v>
      </c>
      <c r="CP88" s="4">
        <v>9.0143045133620606E-2</v>
      </c>
      <c r="CQ88" s="4">
        <v>3.0825492198445801E-2</v>
      </c>
      <c r="CR88" s="4">
        <v>1.69400857018592E-2</v>
      </c>
      <c r="CS88" s="4">
        <v>5.0271175608759301E-2</v>
      </c>
      <c r="CT88" s="1">
        <f>Table1[[#This Row],[Female %]]*Table1[[#This Row],[NWS_pin]]</f>
        <v>0</v>
      </c>
      <c r="CU88" s="1">
        <f>Table1[[#This Row],[Male %]]*Table1[[#This Row],[NWS_pin]]</f>
        <v>0</v>
      </c>
      <c r="CV88" s="1">
        <f>Table1[[#This Row],[Female% (0-2)22]]+Table1[[#This Row],[Male%(0-2)3]]</f>
        <v>0</v>
      </c>
      <c r="CW88" s="1">
        <f>$CT88*Table1[[#This Row],[Female% (0-2)]]</f>
        <v>0</v>
      </c>
      <c r="CX88" s="1">
        <f>$CU88*Table1[[#This Row],[Male%(0-2)]]</f>
        <v>0</v>
      </c>
      <c r="CY88" s="1">
        <f>Table1[[#This Row],[Female%  (3-5)5]]+Table1[[#This Row],[Male% (3-5)6]]</f>
        <v>0</v>
      </c>
      <c r="CZ88" s="1">
        <f>$AF88*Table1[[#This Row],[Female%  (3-5)]]</f>
        <v>0</v>
      </c>
      <c r="DA88" s="1">
        <f>$CU88*Table1[[#This Row],[Male% (3-5)]]</f>
        <v>0</v>
      </c>
      <c r="DB88" s="1">
        <f>Table1[[#This Row],[Female% (6-8)8]]+Table1[[#This Row],[Male%(6-8)9]]</f>
        <v>0</v>
      </c>
      <c r="DC88" s="1">
        <f>$CT88*Table1[[#This Row],[Female% (6-8)]]</f>
        <v>0</v>
      </c>
      <c r="DD88" s="1">
        <f>$CU88*Table1[[#This Row],[Male%(6-8)]]</f>
        <v>0</v>
      </c>
      <c r="DE88" s="1">
        <f>Table1[[#This Row],[Female% (9 - 11)11]]+Table1[[#This Row],[Male% (9 - 11)12]]</f>
        <v>0</v>
      </c>
      <c r="DF88" s="1">
        <f>$CT88*Table1[[#This Row],[Female% (9 - 11)]]</f>
        <v>0</v>
      </c>
      <c r="DG88" s="1">
        <f>$CU88*Table1[[#This Row],[Male% (9 - 11)]]</f>
        <v>0</v>
      </c>
      <c r="DH88" s="1">
        <f>Table1[[#This Row],[Female% (12-14)14]]+Table1[[#This Row],[Male%(12-14)15]]</f>
        <v>0</v>
      </c>
      <c r="DI88" s="1">
        <f>$CT88*Table1[[#This Row],[Female% (12-14)]]</f>
        <v>0</v>
      </c>
      <c r="DJ88" s="1">
        <f>$CU88*Table1[[#This Row],[Male%(12-14)]]</f>
        <v>0</v>
      </c>
      <c r="DK88" s="1">
        <f>Table1[[#This Row],[Female% (15-17)17]]+Table1[[#This Row],[Male%(15-17)18]]</f>
        <v>0</v>
      </c>
      <c r="DL88" s="1">
        <f>$CT88*Table1[[#This Row],[Female% (15-17)]]</f>
        <v>0</v>
      </c>
      <c r="DM88" s="1">
        <f>$CU88*Table1[[#This Row],[Male%(15-17)]]</f>
        <v>0</v>
      </c>
      <c r="DN88" s="1">
        <f>$AF88*Table1[[#This Row],[Total% (18-19)]]</f>
        <v>0</v>
      </c>
      <c r="DO88" s="1">
        <f>$CT88*Table1[[#This Row],[Female% (18-19)]]</f>
        <v>0</v>
      </c>
      <c r="DP88" s="1">
        <f>$CU88*Table1[[#This Row],[Male%(18-19)]]</f>
        <v>0</v>
      </c>
      <c r="DQ88" s="1">
        <f>$AF88*Table1[[#This Row],[Total% (20-24)]]</f>
        <v>0</v>
      </c>
      <c r="DR88" s="1">
        <f>$CT88*Table1[[#This Row],[Female% (20-24)]]</f>
        <v>0</v>
      </c>
      <c r="DS88" s="1">
        <f>$CU88*Table1[[#This Row],[Male% (20-24)]]</f>
        <v>0</v>
      </c>
      <c r="DT88" s="1">
        <f>$AF88*Table1[[#This Row],[Total% (25-29)]]</f>
        <v>0</v>
      </c>
      <c r="DU88" s="1">
        <f>$CT88*Table1[[#This Row],[Female% (25-29)]]</f>
        <v>0</v>
      </c>
      <c r="DV88" s="1">
        <f>$CU88*Table1[[#This Row],[Male% (25-29)]]</f>
        <v>0</v>
      </c>
      <c r="DW88" s="1">
        <f>$AF88*Table1[[#This Row],[Total%   (30-34)]]</f>
        <v>0</v>
      </c>
      <c r="DX88" s="1">
        <f>$CT88*Table1[[#This Row],[Female%   (30-34)]]</f>
        <v>0</v>
      </c>
      <c r="DY88" s="1">
        <f>$CU88*Table1[[#This Row],[Male%  (30-34)]]</f>
        <v>0</v>
      </c>
      <c r="DZ88" s="1">
        <f>$AF88*Table1[[#This Row],[Total% (35-39)]]</f>
        <v>0</v>
      </c>
      <c r="EA88" s="1">
        <f>$CT88*Table1[[#This Row],[Female% (35-39)]]</f>
        <v>0</v>
      </c>
      <c r="EB88" s="1">
        <f>$CU88*Table1[[#This Row],[Male% (35-39)]]</f>
        <v>0</v>
      </c>
      <c r="EC88" s="1">
        <f>$AF88*Table1[[#This Row],[Total% (40-44)]]</f>
        <v>0</v>
      </c>
      <c r="ED88" s="1">
        <f>$CT88*Table1[[#This Row],[Female% (40-44)]]</f>
        <v>0</v>
      </c>
      <c r="EE88" s="1">
        <f>$CU88*Table1[[#This Row],[Male%(55-59)]]</f>
        <v>0</v>
      </c>
      <c r="EF88" s="1">
        <f>$AF88*Table1[[#This Row],[Total% (45-49)]]</f>
        <v>0</v>
      </c>
      <c r="EG88" s="1">
        <f>$CT88*Table1[[#This Row],[Female% (45-49)]]</f>
        <v>0</v>
      </c>
      <c r="EH88" s="1">
        <f>$CU88*Table1[[#This Row],[Male% (45-49)]]</f>
        <v>0</v>
      </c>
      <c r="EI88" s="1">
        <f>$AF88*Table1[[#This Row],[Total% (50-54)]]</f>
        <v>0</v>
      </c>
      <c r="EJ88" s="1">
        <f>$CT88*Table1[[#This Row],[Female%(50-54)]]</f>
        <v>0</v>
      </c>
      <c r="EK88" s="1">
        <f>$CU88*Table1[[#This Row],[Male% (50-54)]]</f>
        <v>0</v>
      </c>
      <c r="EL88" s="1">
        <f>$AF88*Table1[[#This Row],[Total% (55-59)]]</f>
        <v>0</v>
      </c>
      <c r="EM88" s="1">
        <f>$CT88*Table1[[#This Row],[Female% (55-59)]]</f>
        <v>0</v>
      </c>
      <c r="EN88" s="1">
        <f>$CU88*Table1[[#This Row],[Male% (55-59)]]</f>
        <v>0</v>
      </c>
      <c r="EO88" s="1">
        <f>$AF88*Table1[[#This Row],[Total% (60-64)]]</f>
        <v>0</v>
      </c>
      <c r="EP88" s="1">
        <f>$CT88*Table1[[#This Row],[Female%(60-64)]]</f>
        <v>0</v>
      </c>
      <c r="EQ88" s="1">
        <f>$CU88*Table1[[#This Row],[Male%(60-64)]]</f>
        <v>0</v>
      </c>
      <c r="ER88" s="1">
        <f>$AF88*Table1[[#This Row],[Total% (&gt;=65)]]</f>
        <v>0</v>
      </c>
      <c r="ES88" s="1">
        <f>$CT88*Table1[[#This Row],[Female%(&gt;=65)]]</f>
        <v>0</v>
      </c>
      <c r="ET88" s="1">
        <f>$CU88*Table1[[#This Row],[Male% (&gt;=65)]]</f>
        <v>0</v>
      </c>
    </row>
    <row r="89" spans="1:150" hidden="1" x14ac:dyDescent="0.35">
      <c r="A89" t="s">
        <v>17</v>
      </c>
      <c r="B89" t="s">
        <v>18</v>
      </c>
      <c r="C89" t="s">
        <v>17</v>
      </c>
      <c r="D89" t="s">
        <v>19</v>
      </c>
      <c r="E89" t="s">
        <v>575</v>
      </c>
      <c r="F89" t="s">
        <v>576</v>
      </c>
      <c r="H89">
        <v>2</v>
      </c>
      <c r="I89" s="1">
        <v>635</v>
      </c>
      <c r="J89" s="1">
        <v>4731</v>
      </c>
      <c r="K89" s="1">
        <v>1695</v>
      </c>
      <c r="L89" s="1">
        <v>0</v>
      </c>
      <c r="M89" s="1">
        <v>0</v>
      </c>
      <c r="N89" s="1">
        <v>1695</v>
      </c>
      <c r="O89" s="3">
        <v>1</v>
      </c>
      <c r="P89" s="3">
        <v>0</v>
      </c>
      <c r="Q89" s="3">
        <v>0</v>
      </c>
      <c r="R89" s="3">
        <v>0</v>
      </c>
      <c r="S89" s="3">
        <v>0</v>
      </c>
      <c r="T89" s="1">
        <v>7061</v>
      </c>
      <c r="U89" s="1">
        <v>0</v>
      </c>
      <c r="V89" s="10">
        <f>Table1[[#This Row],[Pop NW+RATAA]]*Table1[[#This Row],[Perc_pop_Northern_Aleppo]]</f>
        <v>0</v>
      </c>
      <c r="W89" s="10">
        <f>Table1[[#This Row],[Pop NW+RATAA]]*Table1[[#This Row],[Perc_pop_Afrin District]]</f>
        <v>0</v>
      </c>
      <c r="X89" s="10">
        <f>Table1[[#This Row],[Pop NW+RATAA]]*Table1[[#This Row],[Perc_pop_Euphrates Shiled]]</f>
        <v>0</v>
      </c>
      <c r="Y89" s="10">
        <f>Table1[[#This Row],[Pop NW+RATAA]]*Table1[[#This Row],[Perc_Pop_Idleb_NSAG]]</f>
        <v>0</v>
      </c>
      <c r="Z89" s="3">
        <v>0</v>
      </c>
      <c r="AA89" s="3">
        <v>0</v>
      </c>
      <c r="AB89" s="3">
        <v>0</v>
      </c>
      <c r="AC89" s="3">
        <v>0</v>
      </c>
      <c r="AD89" s="1">
        <v>1695</v>
      </c>
      <c r="AE89" s="1">
        <v>0</v>
      </c>
      <c r="AF89" s="1">
        <v>0</v>
      </c>
      <c r="AG89" s="1">
        <v>0</v>
      </c>
      <c r="AH89" s="1">
        <v>0</v>
      </c>
      <c r="AI89" s="1">
        <f>Table1[[#This Row],[NWS_pin]]*Table1[[#This Row],[Perc_pop_Northern_Aleppo]]</f>
        <v>0</v>
      </c>
      <c r="AJ89" s="1">
        <f>Table1[[#This Row],[NWS_pin]]*Table1[[#This Row],[Perc_pop_Afrin District]]</f>
        <v>0</v>
      </c>
      <c r="AK89" s="1">
        <f>Table1[[#This Row],[NWS_pin]]*Table1[[#This Row],[Perc_pop_Euphrates Shiled]]</f>
        <v>0</v>
      </c>
      <c r="AL89" s="1">
        <f>Table1[[#This Row],[NWS_pin]]*Table1[[#This Row],[Perc_Pop_Idleb_NSAG]]</f>
        <v>0</v>
      </c>
      <c r="AM89" s="4">
        <v>0.51357785982167603</v>
      </c>
      <c r="AN89" s="4">
        <v>0.48642214017832403</v>
      </c>
      <c r="AO89" s="4">
        <v>0.13570360081205299</v>
      </c>
      <c r="AP89" s="4">
        <v>0.439143159999828</v>
      </c>
      <c r="AQ89" s="4">
        <v>0.55150095056626303</v>
      </c>
      <c r="AR89" s="4">
        <v>3.1186298113029401E-3</v>
      </c>
      <c r="AS89" s="4">
        <v>0</v>
      </c>
      <c r="AT89" s="4">
        <v>6.2372596226058803E-3</v>
      </c>
      <c r="AU89" s="4">
        <v>5.1734352882805298E-2</v>
      </c>
      <c r="AV89" s="4">
        <v>5.0993849795206297E-2</v>
      </c>
      <c r="AW89" s="4">
        <v>5.2516196387669301E-2</v>
      </c>
      <c r="AX89" s="4">
        <v>4.90832080785676E-2</v>
      </c>
      <c r="AY89" s="4">
        <v>3.5507523310114399E-2</v>
      </c>
      <c r="AZ89" s="4">
        <v>6.3416789042706895E-2</v>
      </c>
      <c r="BA89" s="4">
        <v>6.9648094911494707E-2</v>
      </c>
      <c r="BB89" s="4">
        <v>6.6480176280298203E-2</v>
      </c>
      <c r="BC89" s="4">
        <v>7.2992870439398796E-2</v>
      </c>
      <c r="BD89" s="4">
        <v>0.112066411779299</v>
      </c>
      <c r="BE89" s="4">
        <v>0.122008896415435</v>
      </c>
      <c r="BF89" s="4">
        <v>0.101568863335338</v>
      </c>
      <c r="BG89" s="4">
        <v>7.8890072526157595E-2</v>
      </c>
      <c r="BH89" s="4">
        <v>7.6177155448592701E-2</v>
      </c>
      <c r="BI89" s="4">
        <v>8.1754444912781707E-2</v>
      </c>
      <c r="BJ89" s="4">
        <v>7.2299239715732502E-2</v>
      </c>
      <c r="BK89" s="4">
        <v>7.4922678471725998E-2</v>
      </c>
      <c r="BL89" s="4">
        <v>6.9529340999398503E-2</v>
      </c>
      <c r="BM89" s="4">
        <v>1.8235877829176801E-2</v>
      </c>
      <c r="BN89" s="4">
        <v>2.00211968250225E-2</v>
      </c>
      <c r="BO89" s="4">
        <v>1.6350888982556301E-2</v>
      </c>
      <c r="BP89" s="4">
        <v>3.1491601850365501E-2</v>
      </c>
      <c r="BQ89" s="4">
        <v>4.0669632138478302E-2</v>
      </c>
      <c r="BR89" s="4">
        <v>2.1801185310075102E-2</v>
      </c>
      <c r="BS89" s="4">
        <v>6.7963357508719194E-2</v>
      </c>
      <c r="BT89" s="4">
        <v>0.10652256993034299</v>
      </c>
      <c r="BU89" s="4">
        <v>2.7251481637593899E-2</v>
      </c>
      <c r="BV89" s="4">
        <v>7.4950384519970201E-2</v>
      </c>
      <c r="BW89" s="4">
        <v>9.10362434452512E-2</v>
      </c>
      <c r="BX89" s="4">
        <v>5.7966492715188098E-2</v>
      </c>
      <c r="BY89" s="4">
        <v>9.8810687758109902E-2</v>
      </c>
      <c r="BZ89" s="4">
        <v>0.10652256993034299</v>
      </c>
      <c r="CA89" s="4">
        <v>9.0668270680300797E-2</v>
      </c>
      <c r="CB89" s="4">
        <v>8.6521371138383402E-2</v>
      </c>
      <c r="CC89" s="4">
        <v>9.2290720422118E-2</v>
      </c>
      <c r="CD89" s="4">
        <v>8.0429933654436098E-2</v>
      </c>
      <c r="CE89" s="4">
        <v>7.5594656120945E-2</v>
      </c>
      <c r="CF89" s="4">
        <v>4.5204502478408903E-2</v>
      </c>
      <c r="CG89" s="4">
        <v>0.10768141529203</v>
      </c>
      <c r="CH89" s="4">
        <v>6.23389320997563E-2</v>
      </c>
      <c r="CI89" s="4">
        <v>4.5831740966842303E-2</v>
      </c>
      <c r="CJ89" s="4">
        <v>7.9767678025263203E-2</v>
      </c>
      <c r="CK89" s="4">
        <v>3.1813737650852901E-2</v>
      </c>
      <c r="CL89" s="4">
        <v>2.06484353134559E-2</v>
      </c>
      <c r="CM89" s="4">
        <v>4.3602370620150301E-2</v>
      </c>
      <c r="CN89" s="4">
        <v>1.5906868825426499E-2</v>
      </c>
      <c r="CO89" s="4">
        <v>5.1621088283639602E-3</v>
      </c>
      <c r="CP89" s="4">
        <v>2.7251481637593899E-2</v>
      </c>
      <c r="CQ89" s="4">
        <v>2.65114480423775E-3</v>
      </c>
      <c r="CR89" s="4">
        <v>0</v>
      </c>
      <c r="CS89" s="4">
        <v>5.4502963275187798E-3</v>
      </c>
      <c r="CT89" s="1">
        <f>Table1[[#This Row],[Female %]]*Table1[[#This Row],[NWS_pin]]</f>
        <v>0</v>
      </c>
      <c r="CU89" s="1">
        <f>Table1[[#This Row],[Male %]]*Table1[[#This Row],[NWS_pin]]</f>
        <v>0</v>
      </c>
      <c r="CV89" s="1">
        <f>Table1[[#This Row],[Female% (0-2)22]]+Table1[[#This Row],[Male%(0-2)3]]</f>
        <v>0</v>
      </c>
      <c r="CW89" s="1">
        <f>$CT89*Table1[[#This Row],[Female% (0-2)]]</f>
        <v>0</v>
      </c>
      <c r="CX89" s="1">
        <f>$CU89*Table1[[#This Row],[Male%(0-2)]]</f>
        <v>0</v>
      </c>
      <c r="CY89" s="1">
        <f>Table1[[#This Row],[Female%  (3-5)5]]+Table1[[#This Row],[Male% (3-5)6]]</f>
        <v>0</v>
      </c>
      <c r="CZ89" s="1">
        <f>$AF89*Table1[[#This Row],[Female%  (3-5)]]</f>
        <v>0</v>
      </c>
      <c r="DA89" s="1">
        <f>$CU89*Table1[[#This Row],[Male% (3-5)]]</f>
        <v>0</v>
      </c>
      <c r="DB89" s="1">
        <f>Table1[[#This Row],[Female% (6-8)8]]+Table1[[#This Row],[Male%(6-8)9]]</f>
        <v>0</v>
      </c>
      <c r="DC89" s="1">
        <f>$CT89*Table1[[#This Row],[Female% (6-8)]]</f>
        <v>0</v>
      </c>
      <c r="DD89" s="1">
        <f>$CU89*Table1[[#This Row],[Male%(6-8)]]</f>
        <v>0</v>
      </c>
      <c r="DE89" s="1">
        <f>Table1[[#This Row],[Female% (9 - 11)11]]+Table1[[#This Row],[Male% (9 - 11)12]]</f>
        <v>0</v>
      </c>
      <c r="DF89" s="1">
        <f>$CT89*Table1[[#This Row],[Female% (9 - 11)]]</f>
        <v>0</v>
      </c>
      <c r="DG89" s="1">
        <f>$CU89*Table1[[#This Row],[Male% (9 - 11)]]</f>
        <v>0</v>
      </c>
      <c r="DH89" s="1">
        <f>Table1[[#This Row],[Female% (12-14)14]]+Table1[[#This Row],[Male%(12-14)15]]</f>
        <v>0</v>
      </c>
      <c r="DI89" s="1">
        <f>$CT89*Table1[[#This Row],[Female% (12-14)]]</f>
        <v>0</v>
      </c>
      <c r="DJ89" s="1">
        <f>$CU89*Table1[[#This Row],[Male%(12-14)]]</f>
        <v>0</v>
      </c>
      <c r="DK89" s="1">
        <f>Table1[[#This Row],[Female% (15-17)17]]+Table1[[#This Row],[Male%(15-17)18]]</f>
        <v>0</v>
      </c>
      <c r="DL89" s="1">
        <f>$CT89*Table1[[#This Row],[Female% (15-17)]]</f>
        <v>0</v>
      </c>
      <c r="DM89" s="1">
        <f>$CU89*Table1[[#This Row],[Male%(15-17)]]</f>
        <v>0</v>
      </c>
      <c r="DN89" s="1">
        <f>$AF89*Table1[[#This Row],[Total% (18-19)]]</f>
        <v>0</v>
      </c>
      <c r="DO89" s="1">
        <f>$CT89*Table1[[#This Row],[Female% (18-19)]]</f>
        <v>0</v>
      </c>
      <c r="DP89" s="1">
        <f>$CU89*Table1[[#This Row],[Male%(18-19)]]</f>
        <v>0</v>
      </c>
      <c r="DQ89" s="1">
        <f>$AF89*Table1[[#This Row],[Total% (20-24)]]</f>
        <v>0</v>
      </c>
      <c r="DR89" s="1">
        <f>$CT89*Table1[[#This Row],[Female% (20-24)]]</f>
        <v>0</v>
      </c>
      <c r="DS89" s="1">
        <f>$CU89*Table1[[#This Row],[Male% (20-24)]]</f>
        <v>0</v>
      </c>
      <c r="DT89" s="1">
        <f>$AF89*Table1[[#This Row],[Total% (25-29)]]</f>
        <v>0</v>
      </c>
      <c r="DU89" s="1">
        <f>$CT89*Table1[[#This Row],[Female% (25-29)]]</f>
        <v>0</v>
      </c>
      <c r="DV89" s="1">
        <f>$CU89*Table1[[#This Row],[Male% (25-29)]]</f>
        <v>0</v>
      </c>
      <c r="DW89" s="1">
        <f>$AF89*Table1[[#This Row],[Total%   (30-34)]]</f>
        <v>0</v>
      </c>
      <c r="DX89" s="1">
        <f>$CT89*Table1[[#This Row],[Female%   (30-34)]]</f>
        <v>0</v>
      </c>
      <c r="DY89" s="1">
        <f>$CU89*Table1[[#This Row],[Male%  (30-34)]]</f>
        <v>0</v>
      </c>
      <c r="DZ89" s="1">
        <f>$AF89*Table1[[#This Row],[Total% (35-39)]]</f>
        <v>0</v>
      </c>
      <c r="EA89" s="1">
        <f>$CT89*Table1[[#This Row],[Female% (35-39)]]</f>
        <v>0</v>
      </c>
      <c r="EB89" s="1">
        <f>$CU89*Table1[[#This Row],[Male% (35-39)]]</f>
        <v>0</v>
      </c>
      <c r="EC89" s="1">
        <f>$AF89*Table1[[#This Row],[Total% (40-44)]]</f>
        <v>0</v>
      </c>
      <c r="ED89" s="1">
        <f>$CT89*Table1[[#This Row],[Female% (40-44)]]</f>
        <v>0</v>
      </c>
      <c r="EE89" s="1">
        <f>$CU89*Table1[[#This Row],[Male%(55-59)]]</f>
        <v>0</v>
      </c>
      <c r="EF89" s="1">
        <f>$AF89*Table1[[#This Row],[Total% (45-49)]]</f>
        <v>0</v>
      </c>
      <c r="EG89" s="1">
        <f>$CT89*Table1[[#This Row],[Female% (45-49)]]</f>
        <v>0</v>
      </c>
      <c r="EH89" s="1">
        <f>$CU89*Table1[[#This Row],[Male% (45-49)]]</f>
        <v>0</v>
      </c>
      <c r="EI89" s="1">
        <f>$AF89*Table1[[#This Row],[Total% (50-54)]]</f>
        <v>0</v>
      </c>
      <c r="EJ89" s="1">
        <f>$CT89*Table1[[#This Row],[Female%(50-54)]]</f>
        <v>0</v>
      </c>
      <c r="EK89" s="1">
        <f>$CU89*Table1[[#This Row],[Male% (50-54)]]</f>
        <v>0</v>
      </c>
      <c r="EL89" s="1">
        <f>$AF89*Table1[[#This Row],[Total% (55-59)]]</f>
        <v>0</v>
      </c>
      <c r="EM89" s="1">
        <f>$CT89*Table1[[#This Row],[Female% (55-59)]]</f>
        <v>0</v>
      </c>
      <c r="EN89" s="1">
        <f>$CU89*Table1[[#This Row],[Male% (55-59)]]</f>
        <v>0</v>
      </c>
      <c r="EO89" s="1">
        <f>$AF89*Table1[[#This Row],[Total% (60-64)]]</f>
        <v>0</v>
      </c>
      <c r="EP89" s="1">
        <f>$CT89*Table1[[#This Row],[Female%(60-64)]]</f>
        <v>0</v>
      </c>
      <c r="EQ89" s="1">
        <f>$CU89*Table1[[#This Row],[Male%(60-64)]]</f>
        <v>0</v>
      </c>
      <c r="ER89" s="1">
        <f>$AF89*Table1[[#This Row],[Total% (&gt;=65)]]</f>
        <v>0</v>
      </c>
      <c r="ES89" s="1">
        <f>$CT89*Table1[[#This Row],[Female%(&gt;=65)]]</f>
        <v>0</v>
      </c>
      <c r="ET89" s="1">
        <f>$CU89*Table1[[#This Row],[Male% (&gt;=65)]]</f>
        <v>0</v>
      </c>
    </row>
    <row r="90" spans="1:150" hidden="1" x14ac:dyDescent="0.35">
      <c r="A90" t="s">
        <v>17</v>
      </c>
      <c r="B90" t="s">
        <v>18</v>
      </c>
      <c r="C90" t="s">
        <v>17</v>
      </c>
      <c r="D90" t="s">
        <v>19</v>
      </c>
      <c r="E90" t="s">
        <v>146</v>
      </c>
      <c r="F90" t="s">
        <v>147</v>
      </c>
      <c r="H90">
        <v>3</v>
      </c>
      <c r="I90" s="1">
        <v>777</v>
      </c>
      <c r="J90" s="1">
        <v>26393</v>
      </c>
      <c r="K90" s="1">
        <v>13235</v>
      </c>
      <c r="L90" s="1">
        <v>0</v>
      </c>
      <c r="M90" s="1">
        <v>0</v>
      </c>
      <c r="N90" s="1">
        <v>13235</v>
      </c>
      <c r="O90" s="3">
        <v>1</v>
      </c>
      <c r="P90" s="3">
        <v>0</v>
      </c>
      <c r="Q90" s="3">
        <v>0</v>
      </c>
      <c r="R90" s="3">
        <v>0</v>
      </c>
      <c r="S90" s="3">
        <v>0</v>
      </c>
      <c r="T90" s="1">
        <v>40405</v>
      </c>
      <c r="U90" s="1">
        <v>0</v>
      </c>
      <c r="V90" s="10">
        <f>Table1[[#This Row],[Pop NW+RATAA]]*Table1[[#This Row],[Perc_pop_Northern_Aleppo]]</f>
        <v>0</v>
      </c>
      <c r="W90" s="10">
        <f>Table1[[#This Row],[Pop NW+RATAA]]*Table1[[#This Row],[Perc_pop_Afrin District]]</f>
        <v>0</v>
      </c>
      <c r="X90" s="10">
        <f>Table1[[#This Row],[Pop NW+RATAA]]*Table1[[#This Row],[Perc_pop_Euphrates Shiled]]</f>
        <v>0</v>
      </c>
      <c r="Y90" s="10">
        <f>Table1[[#This Row],[Pop NW+RATAA]]*Table1[[#This Row],[Perc_Pop_Idleb_NSAG]]</f>
        <v>0</v>
      </c>
      <c r="Z90" s="3">
        <v>0</v>
      </c>
      <c r="AA90" s="3">
        <v>0</v>
      </c>
      <c r="AB90" s="3">
        <v>0</v>
      </c>
      <c r="AC90" s="3">
        <v>0</v>
      </c>
      <c r="AD90" s="1">
        <v>13235</v>
      </c>
      <c r="AE90" s="1">
        <v>0</v>
      </c>
      <c r="AF90" s="1">
        <v>0</v>
      </c>
      <c r="AG90" s="1">
        <v>0</v>
      </c>
      <c r="AH90" s="1">
        <v>0</v>
      </c>
      <c r="AI90" s="1">
        <f>Table1[[#This Row],[NWS_pin]]*Table1[[#This Row],[Perc_pop_Northern_Aleppo]]</f>
        <v>0</v>
      </c>
      <c r="AJ90" s="1">
        <f>Table1[[#This Row],[NWS_pin]]*Table1[[#This Row],[Perc_pop_Afrin District]]</f>
        <v>0</v>
      </c>
      <c r="AK90" s="1">
        <f>Table1[[#This Row],[NWS_pin]]*Table1[[#This Row],[Perc_pop_Euphrates Shiled]]</f>
        <v>0</v>
      </c>
      <c r="AL90" s="1">
        <f>Table1[[#This Row],[NWS_pin]]*Table1[[#This Row],[Perc_Pop_Idleb_NSAG]]</f>
        <v>0</v>
      </c>
      <c r="AM90" s="4">
        <v>0.53638914521428505</v>
      </c>
      <c r="AN90" s="4">
        <v>0.46361085478571501</v>
      </c>
      <c r="AO90" s="4">
        <v>0.18592402961651899</v>
      </c>
      <c r="AP90" s="4">
        <v>0.46257397833500902</v>
      </c>
      <c r="AQ90" s="4">
        <v>0.40957515948877699</v>
      </c>
      <c r="AR90" s="4">
        <v>2.4085386183028801E-2</v>
      </c>
      <c r="AS90" s="4">
        <v>0</v>
      </c>
      <c r="AT90" s="4">
        <v>0.103765475993185</v>
      </c>
      <c r="AU90" s="4">
        <v>3.0162195096876801E-2</v>
      </c>
      <c r="AV90" s="4">
        <v>2.3089256056993301E-2</v>
      </c>
      <c r="AW90" s="4">
        <v>3.8345454152597998E-2</v>
      </c>
      <c r="AX90" s="4">
        <v>6.6057106964727899E-2</v>
      </c>
      <c r="AY90" s="4">
        <v>6.8590846646795198E-2</v>
      </c>
      <c r="AZ90" s="4">
        <v>6.3125617228820596E-2</v>
      </c>
      <c r="BA90" s="4">
        <v>6.8063813450560201E-2</v>
      </c>
      <c r="BB90" s="4">
        <v>5.9245781370044402E-2</v>
      </c>
      <c r="BC90" s="4">
        <v>7.8266112730904294E-2</v>
      </c>
      <c r="BD90" s="4">
        <v>7.9910656232451804E-2</v>
      </c>
      <c r="BE90" s="4">
        <v>5.5626451096250598E-2</v>
      </c>
      <c r="BF90" s="4">
        <v>0.10800703038062801</v>
      </c>
      <c r="BG90" s="4">
        <v>6.9778696095409806E-2</v>
      </c>
      <c r="BH90" s="4">
        <v>5.2659645759972298E-2</v>
      </c>
      <c r="BI90" s="4">
        <v>8.9585119265871996E-2</v>
      </c>
      <c r="BJ90" s="4">
        <v>7.1034278619354699E-2</v>
      </c>
      <c r="BK90" s="4">
        <v>6.0687507967681402E-2</v>
      </c>
      <c r="BL90" s="4">
        <v>8.3005300022950798E-2</v>
      </c>
      <c r="BM90" s="4">
        <v>2.15765700184447E-2</v>
      </c>
      <c r="BN90" s="4">
        <v>2.8293683679256301E-2</v>
      </c>
      <c r="BO90" s="4">
        <v>1.3804994315163801E-2</v>
      </c>
      <c r="BP90" s="4">
        <v>9.2375986038542496E-2</v>
      </c>
      <c r="BQ90" s="4">
        <v>8.9830360374802798E-2</v>
      </c>
      <c r="BR90" s="4">
        <v>9.5321227634406494E-2</v>
      </c>
      <c r="BS90" s="4">
        <v>5.6370430114960603E-2</v>
      </c>
      <c r="BT90" s="4">
        <v>5.2903130567209501E-2</v>
      </c>
      <c r="BU90" s="4">
        <v>6.0382031270157302E-2</v>
      </c>
      <c r="BV90" s="4">
        <v>6.65039822362299E-2</v>
      </c>
      <c r="BW90" s="4">
        <v>9.7804977461623602E-2</v>
      </c>
      <c r="BX90" s="4">
        <v>3.0289312325048501E-2</v>
      </c>
      <c r="BY90" s="4">
        <v>7.4541972804110401E-2</v>
      </c>
      <c r="BZ90" s="4">
        <v>8.6682642321885495E-2</v>
      </c>
      <c r="CA90" s="4">
        <v>6.0495443742623098E-2</v>
      </c>
      <c r="CB90" s="4">
        <v>5.9862058160775299E-2</v>
      </c>
      <c r="CC90" s="4">
        <v>7.1761604011489497E-2</v>
      </c>
      <c r="CD90" s="4">
        <v>4.6094504702060599E-2</v>
      </c>
      <c r="CE90" s="4">
        <v>4.1021499651376803E-2</v>
      </c>
      <c r="CF90" s="4">
        <v>3.6391911570259297E-2</v>
      </c>
      <c r="CG90" s="4">
        <v>4.6377847044650498E-2</v>
      </c>
      <c r="CH90" s="4">
        <v>3.8635390609048401E-2</v>
      </c>
      <c r="CI90" s="4">
        <v>4.3709461573366901E-2</v>
      </c>
      <c r="CJ90" s="4">
        <v>3.2764784778290999E-2</v>
      </c>
      <c r="CK90" s="4">
        <v>4.0238579778752503E-2</v>
      </c>
      <c r="CL90" s="4">
        <v>4.39311161602262E-2</v>
      </c>
      <c r="CM90" s="4">
        <v>3.5966383791782401E-2</v>
      </c>
      <c r="CN90" s="4">
        <v>2.52394584745619E-2</v>
      </c>
      <c r="CO90" s="4">
        <v>1.61562959078233E-2</v>
      </c>
      <c r="CP90" s="4">
        <v>3.5748508801408202E-2</v>
      </c>
      <c r="CQ90" s="4">
        <v>9.8627325653815698E-2</v>
      </c>
      <c r="CR90" s="4">
        <v>0.11263532747431999</v>
      </c>
      <c r="CS90" s="4">
        <v>8.2420327812634295E-2</v>
      </c>
      <c r="CT90" s="1">
        <f>Table1[[#This Row],[Female %]]*Table1[[#This Row],[NWS_pin]]</f>
        <v>0</v>
      </c>
      <c r="CU90" s="1">
        <f>Table1[[#This Row],[Male %]]*Table1[[#This Row],[NWS_pin]]</f>
        <v>0</v>
      </c>
      <c r="CV90" s="1">
        <f>Table1[[#This Row],[Female% (0-2)22]]+Table1[[#This Row],[Male%(0-2)3]]</f>
        <v>0</v>
      </c>
      <c r="CW90" s="1">
        <f>$CT90*Table1[[#This Row],[Female% (0-2)]]</f>
        <v>0</v>
      </c>
      <c r="CX90" s="1">
        <f>$CU90*Table1[[#This Row],[Male%(0-2)]]</f>
        <v>0</v>
      </c>
      <c r="CY90" s="1">
        <f>Table1[[#This Row],[Female%  (3-5)5]]+Table1[[#This Row],[Male% (3-5)6]]</f>
        <v>0</v>
      </c>
      <c r="CZ90" s="1">
        <f>$AF90*Table1[[#This Row],[Female%  (3-5)]]</f>
        <v>0</v>
      </c>
      <c r="DA90" s="1">
        <f>$CU90*Table1[[#This Row],[Male% (3-5)]]</f>
        <v>0</v>
      </c>
      <c r="DB90" s="1">
        <f>Table1[[#This Row],[Female% (6-8)8]]+Table1[[#This Row],[Male%(6-8)9]]</f>
        <v>0</v>
      </c>
      <c r="DC90" s="1">
        <f>$CT90*Table1[[#This Row],[Female% (6-8)]]</f>
        <v>0</v>
      </c>
      <c r="DD90" s="1">
        <f>$CU90*Table1[[#This Row],[Male%(6-8)]]</f>
        <v>0</v>
      </c>
      <c r="DE90" s="1">
        <f>Table1[[#This Row],[Female% (9 - 11)11]]+Table1[[#This Row],[Male% (9 - 11)12]]</f>
        <v>0</v>
      </c>
      <c r="DF90" s="1">
        <f>$CT90*Table1[[#This Row],[Female% (9 - 11)]]</f>
        <v>0</v>
      </c>
      <c r="DG90" s="1">
        <f>$CU90*Table1[[#This Row],[Male% (9 - 11)]]</f>
        <v>0</v>
      </c>
      <c r="DH90" s="1">
        <f>Table1[[#This Row],[Female% (12-14)14]]+Table1[[#This Row],[Male%(12-14)15]]</f>
        <v>0</v>
      </c>
      <c r="DI90" s="1">
        <f>$CT90*Table1[[#This Row],[Female% (12-14)]]</f>
        <v>0</v>
      </c>
      <c r="DJ90" s="1">
        <f>$CU90*Table1[[#This Row],[Male%(12-14)]]</f>
        <v>0</v>
      </c>
      <c r="DK90" s="1">
        <f>Table1[[#This Row],[Female% (15-17)17]]+Table1[[#This Row],[Male%(15-17)18]]</f>
        <v>0</v>
      </c>
      <c r="DL90" s="1">
        <f>$CT90*Table1[[#This Row],[Female% (15-17)]]</f>
        <v>0</v>
      </c>
      <c r="DM90" s="1">
        <f>$CU90*Table1[[#This Row],[Male%(15-17)]]</f>
        <v>0</v>
      </c>
      <c r="DN90" s="1">
        <f>$AF90*Table1[[#This Row],[Total% (18-19)]]</f>
        <v>0</v>
      </c>
      <c r="DO90" s="1">
        <f>$CT90*Table1[[#This Row],[Female% (18-19)]]</f>
        <v>0</v>
      </c>
      <c r="DP90" s="1">
        <f>$CU90*Table1[[#This Row],[Male%(18-19)]]</f>
        <v>0</v>
      </c>
      <c r="DQ90" s="1">
        <f>$AF90*Table1[[#This Row],[Total% (20-24)]]</f>
        <v>0</v>
      </c>
      <c r="DR90" s="1">
        <f>$CT90*Table1[[#This Row],[Female% (20-24)]]</f>
        <v>0</v>
      </c>
      <c r="DS90" s="1">
        <f>$CU90*Table1[[#This Row],[Male% (20-24)]]</f>
        <v>0</v>
      </c>
      <c r="DT90" s="1">
        <f>$AF90*Table1[[#This Row],[Total% (25-29)]]</f>
        <v>0</v>
      </c>
      <c r="DU90" s="1">
        <f>$CT90*Table1[[#This Row],[Female% (25-29)]]</f>
        <v>0</v>
      </c>
      <c r="DV90" s="1">
        <f>$CU90*Table1[[#This Row],[Male% (25-29)]]</f>
        <v>0</v>
      </c>
      <c r="DW90" s="1">
        <f>$AF90*Table1[[#This Row],[Total%   (30-34)]]</f>
        <v>0</v>
      </c>
      <c r="DX90" s="1">
        <f>$CT90*Table1[[#This Row],[Female%   (30-34)]]</f>
        <v>0</v>
      </c>
      <c r="DY90" s="1">
        <f>$CU90*Table1[[#This Row],[Male%  (30-34)]]</f>
        <v>0</v>
      </c>
      <c r="DZ90" s="1">
        <f>$AF90*Table1[[#This Row],[Total% (35-39)]]</f>
        <v>0</v>
      </c>
      <c r="EA90" s="1">
        <f>$CT90*Table1[[#This Row],[Female% (35-39)]]</f>
        <v>0</v>
      </c>
      <c r="EB90" s="1">
        <f>$CU90*Table1[[#This Row],[Male% (35-39)]]</f>
        <v>0</v>
      </c>
      <c r="EC90" s="1">
        <f>$AF90*Table1[[#This Row],[Total% (40-44)]]</f>
        <v>0</v>
      </c>
      <c r="ED90" s="1">
        <f>$CT90*Table1[[#This Row],[Female% (40-44)]]</f>
        <v>0</v>
      </c>
      <c r="EE90" s="1">
        <f>$CU90*Table1[[#This Row],[Male%(55-59)]]</f>
        <v>0</v>
      </c>
      <c r="EF90" s="1">
        <f>$AF90*Table1[[#This Row],[Total% (45-49)]]</f>
        <v>0</v>
      </c>
      <c r="EG90" s="1">
        <f>$CT90*Table1[[#This Row],[Female% (45-49)]]</f>
        <v>0</v>
      </c>
      <c r="EH90" s="1">
        <f>$CU90*Table1[[#This Row],[Male% (45-49)]]</f>
        <v>0</v>
      </c>
      <c r="EI90" s="1">
        <f>$AF90*Table1[[#This Row],[Total% (50-54)]]</f>
        <v>0</v>
      </c>
      <c r="EJ90" s="1">
        <f>$CT90*Table1[[#This Row],[Female%(50-54)]]</f>
        <v>0</v>
      </c>
      <c r="EK90" s="1">
        <f>$CU90*Table1[[#This Row],[Male% (50-54)]]</f>
        <v>0</v>
      </c>
      <c r="EL90" s="1">
        <f>$AF90*Table1[[#This Row],[Total% (55-59)]]</f>
        <v>0</v>
      </c>
      <c r="EM90" s="1">
        <f>$CT90*Table1[[#This Row],[Female% (55-59)]]</f>
        <v>0</v>
      </c>
      <c r="EN90" s="1">
        <f>$CU90*Table1[[#This Row],[Male% (55-59)]]</f>
        <v>0</v>
      </c>
      <c r="EO90" s="1">
        <f>$AF90*Table1[[#This Row],[Total% (60-64)]]</f>
        <v>0</v>
      </c>
      <c r="EP90" s="1">
        <f>$CT90*Table1[[#This Row],[Female%(60-64)]]</f>
        <v>0</v>
      </c>
      <c r="EQ90" s="1">
        <f>$CU90*Table1[[#This Row],[Male%(60-64)]]</f>
        <v>0</v>
      </c>
      <c r="ER90" s="1">
        <f>$AF90*Table1[[#This Row],[Total% (&gt;=65)]]</f>
        <v>0</v>
      </c>
      <c r="ES90" s="1">
        <f>$CT90*Table1[[#This Row],[Female%(&gt;=65)]]</f>
        <v>0</v>
      </c>
      <c r="ET90" s="1">
        <f>$CU90*Table1[[#This Row],[Male% (&gt;=65)]]</f>
        <v>0</v>
      </c>
    </row>
    <row r="91" spans="1:150" hidden="1" x14ac:dyDescent="0.35">
      <c r="A91" t="s">
        <v>17</v>
      </c>
      <c r="B91" t="s">
        <v>18</v>
      </c>
      <c r="C91" t="s">
        <v>17</v>
      </c>
      <c r="D91" t="s">
        <v>19</v>
      </c>
      <c r="E91" t="s">
        <v>20</v>
      </c>
      <c r="F91" t="s">
        <v>21</v>
      </c>
      <c r="H91">
        <v>2</v>
      </c>
      <c r="I91" s="1">
        <v>4042</v>
      </c>
      <c r="J91" s="1">
        <v>28852</v>
      </c>
      <c r="K91" s="1">
        <v>320</v>
      </c>
      <c r="L91" s="1">
        <v>0</v>
      </c>
      <c r="M91" s="1">
        <v>0</v>
      </c>
      <c r="N91" s="1">
        <v>320</v>
      </c>
      <c r="O91" s="3">
        <v>1</v>
      </c>
      <c r="P91" s="3">
        <v>0</v>
      </c>
      <c r="Q91" s="3">
        <v>0</v>
      </c>
      <c r="R91" s="3">
        <v>0</v>
      </c>
      <c r="S91" s="3">
        <v>0</v>
      </c>
      <c r="T91" s="1">
        <v>33214</v>
      </c>
      <c r="U91" s="1">
        <v>0</v>
      </c>
      <c r="V91" s="10">
        <f>Table1[[#This Row],[Pop NW+RATAA]]*Table1[[#This Row],[Perc_pop_Northern_Aleppo]]</f>
        <v>0</v>
      </c>
      <c r="W91" s="10">
        <f>Table1[[#This Row],[Pop NW+RATAA]]*Table1[[#This Row],[Perc_pop_Afrin District]]</f>
        <v>0</v>
      </c>
      <c r="X91" s="10">
        <f>Table1[[#This Row],[Pop NW+RATAA]]*Table1[[#This Row],[Perc_pop_Euphrates Shiled]]</f>
        <v>0</v>
      </c>
      <c r="Y91" s="10">
        <f>Table1[[#This Row],[Pop NW+RATAA]]*Table1[[#This Row],[Perc_Pop_Idleb_NSAG]]</f>
        <v>0</v>
      </c>
      <c r="Z91" s="3">
        <v>0</v>
      </c>
      <c r="AA91" s="3">
        <v>0</v>
      </c>
      <c r="AB91" s="3">
        <v>0</v>
      </c>
      <c r="AC91" s="3">
        <v>0</v>
      </c>
      <c r="AD91" s="1">
        <v>320</v>
      </c>
      <c r="AE91" s="1">
        <v>0</v>
      </c>
      <c r="AF91" s="1">
        <v>0</v>
      </c>
      <c r="AG91" s="1">
        <v>0</v>
      </c>
      <c r="AH91" s="1">
        <v>0</v>
      </c>
      <c r="AI91" s="1">
        <f>Table1[[#This Row],[NWS_pin]]*Table1[[#This Row],[Perc_pop_Northern_Aleppo]]</f>
        <v>0</v>
      </c>
      <c r="AJ91" s="1">
        <f>Table1[[#This Row],[NWS_pin]]*Table1[[#This Row],[Perc_pop_Afrin District]]</f>
        <v>0</v>
      </c>
      <c r="AK91" s="1">
        <f>Table1[[#This Row],[NWS_pin]]*Table1[[#This Row],[Perc_pop_Euphrates Shiled]]</f>
        <v>0</v>
      </c>
      <c r="AL91" s="1">
        <f>Table1[[#This Row],[NWS_pin]]*Table1[[#This Row],[Perc_Pop_Idleb_NSAG]]</f>
        <v>0</v>
      </c>
      <c r="AM91" s="4">
        <v>0.49775724066208998</v>
      </c>
      <c r="AN91" s="4">
        <v>0.50224275933790996</v>
      </c>
      <c r="AO91" s="4">
        <v>3.5153703425104099E-2</v>
      </c>
      <c r="AP91" s="4">
        <v>0.37035407143570998</v>
      </c>
      <c r="AQ91" s="4">
        <v>0.58812076946698999</v>
      </c>
      <c r="AR91" s="4">
        <v>0</v>
      </c>
      <c r="AS91" s="4">
        <v>0</v>
      </c>
      <c r="AT91" s="4">
        <v>4.1525159097299903E-2</v>
      </c>
      <c r="AU91" s="4">
        <v>3.0865910927993401E-2</v>
      </c>
      <c r="AV91" s="4">
        <v>9.8552184839489198E-3</v>
      </c>
      <c r="AW91" s="4">
        <v>5.1688957355052197E-2</v>
      </c>
      <c r="AX91" s="4">
        <v>3.6328620676326397E-2</v>
      </c>
      <c r="AY91" s="4">
        <v>3.8879627887936898E-2</v>
      </c>
      <c r="AZ91" s="4">
        <v>3.3800396452179797E-2</v>
      </c>
      <c r="BA91" s="4">
        <v>8.4760922258154403E-2</v>
      </c>
      <c r="BB91" s="4">
        <v>0.10706203573377</v>
      </c>
      <c r="BC91" s="4">
        <v>6.26589795204468E-2</v>
      </c>
      <c r="BD91" s="4">
        <v>9.16842169740852E-2</v>
      </c>
      <c r="BE91" s="4">
        <v>7.7753670347283907E-2</v>
      </c>
      <c r="BF91" s="4">
        <v>0.105490350205378</v>
      </c>
      <c r="BG91" s="4">
        <v>7.5529175063655099E-2</v>
      </c>
      <c r="BH91" s="4">
        <v>6.9279133775699303E-2</v>
      </c>
      <c r="BI91" s="4">
        <v>8.1723397374830198E-2</v>
      </c>
      <c r="BJ91" s="4">
        <v>5.3898598668899997E-2</v>
      </c>
      <c r="BK91" s="4">
        <v>3.5650349287479503E-2</v>
      </c>
      <c r="BL91" s="4">
        <v>7.1983873349581604E-2</v>
      </c>
      <c r="BM91" s="4">
        <v>1.2532367884816299E-2</v>
      </c>
      <c r="BN91" s="4">
        <v>7.8051860163930497E-3</v>
      </c>
      <c r="BO91" s="4">
        <v>1.7217331399344799E-2</v>
      </c>
      <c r="BP91" s="4">
        <v>3.0553722774228999E-2</v>
      </c>
      <c r="BQ91" s="4">
        <v>2.6620513009003699E-2</v>
      </c>
      <c r="BR91" s="4">
        <v>3.4451805132378999E-2</v>
      </c>
      <c r="BS91" s="4">
        <v>8.3452799186965507E-2</v>
      </c>
      <c r="BT91" s="4">
        <v>8.68063888654661E-2</v>
      </c>
      <c r="BU91" s="4">
        <v>8.0129160341710998E-2</v>
      </c>
      <c r="BV91" s="4">
        <v>6.4932445478953202E-2</v>
      </c>
      <c r="BW91" s="4">
        <v>7.3087675373448999E-2</v>
      </c>
      <c r="BX91" s="4">
        <v>5.6850049757409198E-2</v>
      </c>
      <c r="BY91" s="4">
        <v>0.112039853180987</v>
      </c>
      <c r="BZ91" s="4">
        <v>0.128797100477896</v>
      </c>
      <c r="CA91" s="4">
        <v>9.5432264479066803E-2</v>
      </c>
      <c r="CB91" s="4">
        <v>9.9768284822498901E-2</v>
      </c>
      <c r="CC91" s="4">
        <v>0.10769589179114999</v>
      </c>
      <c r="CD91" s="4">
        <v>9.19114791316194E-2</v>
      </c>
      <c r="CE91" s="4">
        <v>9.9841287165838302E-2</v>
      </c>
      <c r="CF91" s="4">
        <v>0.119697896779838</v>
      </c>
      <c r="CG91" s="4">
        <v>8.0162016481282405E-2</v>
      </c>
      <c r="CH91" s="4">
        <v>7.6341796971514803E-2</v>
      </c>
      <c r="CI91" s="4">
        <v>5.9703366896353902E-2</v>
      </c>
      <c r="CJ91" s="4">
        <v>9.2831629605596003E-2</v>
      </c>
      <c r="CK91" s="4">
        <v>2.2528487281135299E-2</v>
      </c>
      <c r="CL91" s="4">
        <v>1.7211408111771999E-2</v>
      </c>
      <c r="CM91" s="4">
        <v>2.7798079737207999E-2</v>
      </c>
      <c r="CN91" s="4">
        <v>7.4268673914227E-3</v>
      </c>
      <c r="CO91" s="4">
        <v>1.06678082562004E-2</v>
      </c>
      <c r="CP91" s="4">
        <v>4.2148712958943596E-3</v>
      </c>
      <c r="CQ91" s="4">
        <v>1.7514643292524099E-2</v>
      </c>
      <c r="CR91" s="4">
        <v>2.3426728906358701E-2</v>
      </c>
      <c r="CS91" s="4">
        <v>1.16553583810209E-2</v>
      </c>
      <c r="CT91" s="1">
        <f>Table1[[#This Row],[Female %]]*Table1[[#This Row],[NWS_pin]]</f>
        <v>0</v>
      </c>
      <c r="CU91" s="1">
        <f>Table1[[#This Row],[Male %]]*Table1[[#This Row],[NWS_pin]]</f>
        <v>0</v>
      </c>
      <c r="CV91" s="1">
        <f>Table1[[#This Row],[Female% (0-2)22]]+Table1[[#This Row],[Male%(0-2)3]]</f>
        <v>0</v>
      </c>
      <c r="CW91" s="1">
        <f>$CT91*Table1[[#This Row],[Female% (0-2)]]</f>
        <v>0</v>
      </c>
      <c r="CX91" s="1">
        <f>$CU91*Table1[[#This Row],[Male%(0-2)]]</f>
        <v>0</v>
      </c>
      <c r="CY91" s="1">
        <f>Table1[[#This Row],[Female%  (3-5)5]]+Table1[[#This Row],[Male% (3-5)6]]</f>
        <v>0</v>
      </c>
      <c r="CZ91" s="1">
        <f>$AF91*Table1[[#This Row],[Female%  (3-5)]]</f>
        <v>0</v>
      </c>
      <c r="DA91" s="1">
        <f>$CU91*Table1[[#This Row],[Male% (3-5)]]</f>
        <v>0</v>
      </c>
      <c r="DB91" s="1">
        <f>Table1[[#This Row],[Female% (6-8)8]]+Table1[[#This Row],[Male%(6-8)9]]</f>
        <v>0</v>
      </c>
      <c r="DC91" s="1">
        <f>$CT91*Table1[[#This Row],[Female% (6-8)]]</f>
        <v>0</v>
      </c>
      <c r="DD91" s="1">
        <f>$CU91*Table1[[#This Row],[Male%(6-8)]]</f>
        <v>0</v>
      </c>
      <c r="DE91" s="1">
        <f>Table1[[#This Row],[Female% (9 - 11)11]]+Table1[[#This Row],[Male% (9 - 11)12]]</f>
        <v>0</v>
      </c>
      <c r="DF91" s="1">
        <f>$CT91*Table1[[#This Row],[Female% (9 - 11)]]</f>
        <v>0</v>
      </c>
      <c r="DG91" s="1">
        <f>$CU91*Table1[[#This Row],[Male% (9 - 11)]]</f>
        <v>0</v>
      </c>
      <c r="DH91" s="1">
        <f>Table1[[#This Row],[Female% (12-14)14]]+Table1[[#This Row],[Male%(12-14)15]]</f>
        <v>0</v>
      </c>
      <c r="DI91" s="1">
        <f>$CT91*Table1[[#This Row],[Female% (12-14)]]</f>
        <v>0</v>
      </c>
      <c r="DJ91" s="1">
        <f>$CU91*Table1[[#This Row],[Male%(12-14)]]</f>
        <v>0</v>
      </c>
      <c r="DK91" s="1">
        <f>Table1[[#This Row],[Female% (15-17)17]]+Table1[[#This Row],[Male%(15-17)18]]</f>
        <v>0</v>
      </c>
      <c r="DL91" s="1">
        <f>$CT91*Table1[[#This Row],[Female% (15-17)]]</f>
        <v>0</v>
      </c>
      <c r="DM91" s="1">
        <f>$CU91*Table1[[#This Row],[Male%(15-17)]]</f>
        <v>0</v>
      </c>
      <c r="DN91" s="1">
        <f>$AF91*Table1[[#This Row],[Total% (18-19)]]</f>
        <v>0</v>
      </c>
      <c r="DO91" s="1">
        <f>$CT91*Table1[[#This Row],[Female% (18-19)]]</f>
        <v>0</v>
      </c>
      <c r="DP91" s="1">
        <f>$CU91*Table1[[#This Row],[Male%(18-19)]]</f>
        <v>0</v>
      </c>
      <c r="DQ91" s="1">
        <f>$AF91*Table1[[#This Row],[Total% (20-24)]]</f>
        <v>0</v>
      </c>
      <c r="DR91" s="1">
        <f>$CT91*Table1[[#This Row],[Female% (20-24)]]</f>
        <v>0</v>
      </c>
      <c r="DS91" s="1">
        <f>$CU91*Table1[[#This Row],[Male% (20-24)]]</f>
        <v>0</v>
      </c>
      <c r="DT91" s="1">
        <f>$AF91*Table1[[#This Row],[Total% (25-29)]]</f>
        <v>0</v>
      </c>
      <c r="DU91" s="1">
        <f>$CT91*Table1[[#This Row],[Female% (25-29)]]</f>
        <v>0</v>
      </c>
      <c r="DV91" s="1">
        <f>$CU91*Table1[[#This Row],[Male% (25-29)]]</f>
        <v>0</v>
      </c>
      <c r="DW91" s="1">
        <f>$AF91*Table1[[#This Row],[Total%   (30-34)]]</f>
        <v>0</v>
      </c>
      <c r="DX91" s="1">
        <f>$CT91*Table1[[#This Row],[Female%   (30-34)]]</f>
        <v>0</v>
      </c>
      <c r="DY91" s="1">
        <f>$CU91*Table1[[#This Row],[Male%  (30-34)]]</f>
        <v>0</v>
      </c>
      <c r="DZ91" s="1">
        <f>$AF91*Table1[[#This Row],[Total% (35-39)]]</f>
        <v>0</v>
      </c>
      <c r="EA91" s="1">
        <f>$CT91*Table1[[#This Row],[Female% (35-39)]]</f>
        <v>0</v>
      </c>
      <c r="EB91" s="1">
        <f>$CU91*Table1[[#This Row],[Male% (35-39)]]</f>
        <v>0</v>
      </c>
      <c r="EC91" s="1">
        <f>$AF91*Table1[[#This Row],[Total% (40-44)]]</f>
        <v>0</v>
      </c>
      <c r="ED91" s="1">
        <f>$CT91*Table1[[#This Row],[Female% (40-44)]]</f>
        <v>0</v>
      </c>
      <c r="EE91" s="1">
        <f>$CU91*Table1[[#This Row],[Male%(55-59)]]</f>
        <v>0</v>
      </c>
      <c r="EF91" s="1">
        <f>$AF91*Table1[[#This Row],[Total% (45-49)]]</f>
        <v>0</v>
      </c>
      <c r="EG91" s="1">
        <f>$CT91*Table1[[#This Row],[Female% (45-49)]]</f>
        <v>0</v>
      </c>
      <c r="EH91" s="1">
        <f>$CU91*Table1[[#This Row],[Male% (45-49)]]</f>
        <v>0</v>
      </c>
      <c r="EI91" s="1">
        <f>$AF91*Table1[[#This Row],[Total% (50-54)]]</f>
        <v>0</v>
      </c>
      <c r="EJ91" s="1">
        <f>$CT91*Table1[[#This Row],[Female%(50-54)]]</f>
        <v>0</v>
      </c>
      <c r="EK91" s="1">
        <f>$CU91*Table1[[#This Row],[Male% (50-54)]]</f>
        <v>0</v>
      </c>
      <c r="EL91" s="1">
        <f>$AF91*Table1[[#This Row],[Total% (55-59)]]</f>
        <v>0</v>
      </c>
      <c r="EM91" s="1">
        <f>$CT91*Table1[[#This Row],[Female% (55-59)]]</f>
        <v>0</v>
      </c>
      <c r="EN91" s="1">
        <f>$CU91*Table1[[#This Row],[Male% (55-59)]]</f>
        <v>0</v>
      </c>
      <c r="EO91" s="1">
        <f>$AF91*Table1[[#This Row],[Total% (60-64)]]</f>
        <v>0</v>
      </c>
      <c r="EP91" s="1">
        <f>$CT91*Table1[[#This Row],[Female%(60-64)]]</f>
        <v>0</v>
      </c>
      <c r="EQ91" s="1">
        <f>$CU91*Table1[[#This Row],[Male%(60-64)]]</f>
        <v>0</v>
      </c>
      <c r="ER91" s="1">
        <f>$AF91*Table1[[#This Row],[Total% (&gt;=65)]]</f>
        <v>0</v>
      </c>
      <c r="ES91" s="1">
        <f>$CT91*Table1[[#This Row],[Female%(&gt;=65)]]</f>
        <v>0</v>
      </c>
      <c r="ET91" s="1">
        <f>$CU91*Table1[[#This Row],[Male% (&gt;=65)]]</f>
        <v>0</v>
      </c>
    </row>
    <row r="92" spans="1:150" hidden="1" x14ac:dyDescent="0.35">
      <c r="A92" t="s">
        <v>17</v>
      </c>
      <c r="B92" t="s">
        <v>18</v>
      </c>
      <c r="C92" t="s">
        <v>189</v>
      </c>
      <c r="D92" t="s">
        <v>190</v>
      </c>
      <c r="E92" t="s">
        <v>189</v>
      </c>
      <c r="F92" t="s">
        <v>191</v>
      </c>
      <c r="H92">
        <v>3</v>
      </c>
      <c r="I92" s="1">
        <v>0</v>
      </c>
      <c r="J92" s="1">
        <v>30600</v>
      </c>
      <c r="K92" s="1">
        <v>33539</v>
      </c>
      <c r="L92" s="1">
        <v>0</v>
      </c>
      <c r="M92" s="1">
        <v>0</v>
      </c>
      <c r="N92" s="1">
        <v>33539</v>
      </c>
      <c r="O92" s="3">
        <v>1</v>
      </c>
      <c r="P92" s="3">
        <v>0</v>
      </c>
      <c r="Q92" s="3">
        <v>0</v>
      </c>
      <c r="R92" s="3">
        <v>0</v>
      </c>
      <c r="S92" s="3">
        <v>0</v>
      </c>
      <c r="T92" s="1">
        <v>64139</v>
      </c>
      <c r="U92" s="1">
        <v>0</v>
      </c>
      <c r="V92" s="10">
        <f>Table1[[#This Row],[Pop NW+RATAA]]*Table1[[#This Row],[Perc_pop_Northern_Aleppo]]</f>
        <v>0</v>
      </c>
      <c r="W92" s="10">
        <f>Table1[[#This Row],[Pop NW+RATAA]]*Table1[[#This Row],[Perc_pop_Afrin District]]</f>
        <v>0</v>
      </c>
      <c r="X92" s="10">
        <f>Table1[[#This Row],[Pop NW+RATAA]]*Table1[[#This Row],[Perc_pop_Euphrates Shiled]]</f>
        <v>0</v>
      </c>
      <c r="Y92" s="10">
        <f>Table1[[#This Row],[Pop NW+RATAA]]*Table1[[#This Row],[Perc_Pop_Idleb_NSAG]]</f>
        <v>0</v>
      </c>
      <c r="Z92" s="3">
        <v>0</v>
      </c>
      <c r="AA92" s="3">
        <v>0</v>
      </c>
      <c r="AB92" s="3">
        <v>0</v>
      </c>
      <c r="AC92" s="3">
        <v>0</v>
      </c>
      <c r="AD92" s="1">
        <v>33539</v>
      </c>
      <c r="AE92" s="1">
        <v>0</v>
      </c>
      <c r="AF92" s="1">
        <v>0</v>
      </c>
      <c r="AG92" s="1">
        <v>0</v>
      </c>
      <c r="AH92" s="1">
        <v>0</v>
      </c>
      <c r="AI92" s="1">
        <f>Table1[[#This Row],[NWS_pin]]*Table1[[#This Row],[Perc_pop_Northern_Aleppo]]</f>
        <v>0</v>
      </c>
      <c r="AJ92" s="1">
        <f>Table1[[#This Row],[NWS_pin]]*Table1[[#This Row],[Perc_pop_Afrin District]]</f>
        <v>0</v>
      </c>
      <c r="AK92" s="1">
        <f>Table1[[#This Row],[NWS_pin]]*Table1[[#This Row],[Perc_pop_Euphrates Shiled]]</f>
        <v>0</v>
      </c>
      <c r="AL92" s="1">
        <f>Table1[[#This Row],[NWS_pin]]*Table1[[#This Row],[Perc_Pop_Idleb_NSAG]]</f>
        <v>0</v>
      </c>
      <c r="AM92" s="4">
        <v>0.55406046937633002</v>
      </c>
      <c r="AN92" s="4">
        <v>0.44593953062366998</v>
      </c>
      <c r="AO92" s="4">
        <v>0.16374175498549201</v>
      </c>
      <c r="AP92" s="4">
        <v>0.38392489489149301</v>
      </c>
      <c r="AQ92" s="4">
        <v>0.54136814666254995</v>
      </c>
      <c r="AR92" s="4">
        <v>1.6379751352399802E-2</v>
      </c>
      <c r="AS92" s="4">
        <v>2.6015234533187802E-3</v>
      </c>
      <c r="AT92" s="4">
        <v>5.5725683640237597E-2</v>
      </c>
      <c r="AU92" s="4">
        <v>4.6010622001434E-2</v>
      </c>
      <c r="AV92" s="4">
        <v>4.5984233877696498E-2</v>
      </c>
      <c r="AW92" s="4">
        <v>4.6043408097350497E-2</v>
      </c>
      <c r="AX92" s="4">
        <v>4.4943866363608601E-2</v>
      </c>
      <c r="AY92" s="4">
        <v>4.1707279761992302E-2</v>
      </c>
      <c r="AZ92" s="4">
        <v>4.8965184431465802E-2</v>
      </c>
      <c r="BA92" s="4">
        <v>4.8701764291660697E-2</v>
      </c>
      <c r="BB92" s="4">
        <v>4.8492991193988498E-2</v>
      </c>
      <c r="BC92" s="4">
        <v>4.8961155784331599E-2</v>
      </c>
      <c r="BD92" s="4">
        <v>5.9221427505882801E-2</v>
      </c>
      <c r="BE92" s="4">
        <v>6.0258465463650497E-2</v>
      </c>
      <c r="BF92" s="4">
        <v>5.7932952952307701E-2</v>
      </c>
      <c r="BG92" s="4">
        <v>7.14406109495479E-2</v>
      </c>
      <c r="BH92" s="4">
        <v>5.0599911920198699E-2</v>
      </c>
      <c r="BI92" s="4">
        <v>9.7334272967317295E-2</v>
      </c>
      <c r="BJ92" s="4">
        <v>0.11713228417944201</v>
      </c>
      <c r="BK92" s="4">
        <v>8.7227954022946003E-2</v>
      </c>
      <c r="BL92" s="4">
        <v>0.154287113623964</v>
      </c>
      <c r="BM92" s="4">
        <v>2.1014944908994401E-2</v>
      </c>
      <c r="BN92" s="4">
        <v>2.4436991617364501E-2</v>
      </c>
      <c r="BO92" s="4">
        <v>1.6763200725616899E-2</v>
      </c>
      <c r="BP92" s="4">
        <v>5.2298230896197298E-2</v>
      </c>
      <c r="BQ92" s="4">
        <v>8.6677657920332399E-2</v>
      </c>
      <c r="BR92" s="4">
        <v>9.5832882508535104E-3</v>
      </c>
      <c r="BS92" s="4">
        <v>6.8179069427980701E-2</v>
      </c>
      <c r="BT92" s="4">
        <v>0.107360546201307</v>
      </c>
      <c r="BU92" s="4">
        <v>1.94977888482443E-2</v>
      </c>
      <c r="BV92" s="4">
        <v>7.66177057952626E-2</v>
      </c>
      <c r="BW92" s="4">
        <v>8.0283129197643494E-2</v>
      </c>
      <c r="BX92" s="4">
        <v>7.2063576655946607E-2</v>
      </c>
      <c r="BY92" s="4">
        <v>7.3463057987915095E-2</v>
      </c>
      <c r="BZ92" s="4">
        <v>6.2266490383540901E-2</v>
      </c>
      <c r="CA92" s="4">
        <v>8.7374306209411404E-2</v>
      </c>
      <c r="CB92" s="4">
        <v>6.0164992308592999E-2</v>
      </c>
      <c r="CC92" s="4">
        <v>5.5824250803470497E-2</v>
      </c>
      <c r="CD92" s="4">
        <v>6.5558174815660605E-2</v>
      </c>
      <c r="CE92" s="4">
        <v>7.1286173272400902E-2</v>
      </c>
      <c r="CF92" s="4">
        <v>6.7021595300526898E-2</v>
      </c>
      <c r="CG92" s="4">
        <v>7.6584725902359402E-2</v>
      </c>
      <c r="CH92" s="4">
        <v>4.4951180819443597E-2</v>
      </c>
      <c r="CI92" s="4">
        <v>3.6887440938996E-2</v>
      </c>
      <c r="CJ92" s="4">
        <v>5.4970026865321202E-2</v>
      </c>
      <c r="CK92" s="4">
        <v>6.8100856080061195E-2</v>
      </c>
      <c r="CL92" s="4">
        <v>7.8354776777458099E-2</v>
      </c>
      <c r="CM92" s="4">
        <v>5.5360805637343503E-2</v>
      </c>
      <c r="CN92" s="4">
        <v>3.6139122233218898E-2</v>
      </c>
      <c r="CO92" s="4">
        <v>1.7439708009552801E-2</v>
      </c>
      <c r="CP92" s="4">
        <v>5.9372331021273601E-2</v>
      </c>
      <c r="CQ92" s="4">
        <v>4.03340909783566E-2</v>
      </c>
      <c r="CR92" s="4">
        <v>4.9176576609335297E-2</v>
      </c>
      <c r="CS92" s="4">
        <v>2.93476872112324E-2</v>
      </c>
      <c r="CT92" s="1">
        <f>Table1[[#This Row],[Female %]]*Table1[[#This Row],[NWS_pin]]</f>
        <v>0</v>
      </c>
      <c r="CU92" s="1">
        <f>Table1[[#This Row],[Male %]]*Table1[[#This Row],[NWS_pin]]</f>
        <v>0</v>
      </c>
      <c r="CV92" s="1">
        <f>Table1[[#This Row],[Female% (0-2)22]]+Table1[[#This Row],[Male%(0-2)3]]</f>
        <v>0</v>
      </c>
      <c r="CW92" s="1">
        <f>$CT92*Table1[[#This Row],[Female% (0-2)]]</f>
        <v>0</v>
      </c>
      <c r="CX92" s="1">
        <f>$CU92*Table1[[#This Row],[Male%(0-2)]]</f>
        <v>0</v>
      </c>
      <c r="CY92" s="1">
        <f>Table1[[#This Row],[Female%  (3-5)5]]+Table1[[#This Row],[Male% (3-5)6]]</f>
        <v>0</v>
      </c>
      <c r="CZ92" s="1">
        <f>$AF92*Table1[[#This Row],[Female%  (3-5)]]</f>
        <v>0</v>
      </c>
      <c r="DA92" s="1">
        <f>$CU92*Table1[[#This Row],[Male% (3-5)]]</f>
        <v>0</v>
      </c>
      <c r="DB92" s="1">
        <f>Table1[[#This Row],[Female% (6-8)8]]+Table1[[#This Row],[Male%(6-8)9]]</f>
        <v>0</v>
      </c>
      <c r="DC92" s="1">
        <f>$CT92*Table1[[#This Row],[Female% (6-8)]]</f>
        <v>0</v>
      </c>
      <c r="DD92" s="1">
        <f>$CU92*Table1[[#This Row],[Male%(6-8)]]</f>
        <v>0</v>
      </c>
      <c r="DE92" s="1">
        <f>Table1[[#This Row],[Female% (9 - 11)11]]+Table1[[#This Row],[Male% (9 - 11)12]]</f>
        <v>0</v>
      </c>
      <c r="DF92" s="1">
        <f>$CT92*Table1[[#This Row],[Female% (9 - 11)]]</f>
        <v>0</v>
      </c>
      <c r="DG92" s="1">
        <f>$CU92*Table1[[#This Row],[Male% (9 - 11)]]</f>
        <v>0</v>
      </c>
      <c r="DH92" s="1">
        <f>Table1[[#This Row],[Female% (12-14)14]]+Table1[[#This Row],[Male%(12-14)15]]</f>
        <v>0</v>
      </c>
      <c r="DI92" s="1">
        <f>$CT92*Table1[[#This Row],[Female% (12-14)]]</f>
        <v>0</v>
      </c>
      <c r="DJ92" s="1">
        <f>$CU92*Table1[[#This Row],[Male%(12-14)]]</f>
        <v>0</v>
      </c>
      <c r="DK92" s="1">
        <f>Table1[[#This Row],[Female% (15-17)17]]+Table1[[#This Row],[Male%(15-17)18]]</f>
        <v>0</v>
      </c>
      <c r="DL92" s="1">
        <f>$CT92*Table1[[#This Row],[Female% (15-17)]]</f>
        <v>0</v>
      </c>
      <c r="DM92" s="1">
        <f>$CU92*Table1[[#This Row],[Male%(15-17)]]</f>
        <v>0</v>
      </c>
      <c r="DN92" s="1">
        <f>$AF92*Table1[[#This Row],[Total% (18-19)]]</f>
        <v>0</v>
      </c>
      <c r="DO92" s="1">
        <f>$CT92*Table1[[#This Row],[Female% (18-19)]]</f>
        <v>0</v>
      </c>
      <c r="DP92" s="1">
        <f>$CU92*Table1[[#This Row],[Male%(18-19)]]</f>
        <v>0</v>
      </c>
      <c r="DQ92" s="1">
        <f>$AF92*Table1[[#This Row],[Total% (20-24)]]</f>
        <v>0</v>
      </c>
      <c r="DR92" s="1">
        <f>$CT92*Table1[[#This Row],[Female% (20-24)]]</f>
        <v>0</v>
      </c>
      <c r="DS92" s="1">
        <f>$CU92*Table1[[#This Row],[Male% (20-24)]]</f>
        <v>0</v>
      </c>
      <c r="DT92" s="1">
        <f>$AF92*Table1[[#This Row],[Total% (25-29)]]</f>
        <v>0</v>
      </c>
      <c r="DU92" s="1">
        <f>$CT92*Table1[[#This Row],[Female% (25-29)]]</f>
        <v>0</v>
      </c>
      <c r="DV92" s="1">
        <f>$CU92*Table1[[#This Row],[Male% (25-29)]]</f>
        <v>0</v>
      </c>
      <c r="DW92" s="1">
        <f>$AF92*Table1[[#This Row],[Total%   (30-34)]]</f>
        <v>0</v>
      </c>
      <c r="DX92" s="1">
        <f>$CT92*Table1[[#This Row],[Female%   (30-34)]]</f>
        <v>0</v>
      </c>
      <c r="DY92" s="1">
        <f>$CU92*Table1[[#This Row],[Male%  (30-34)]]</f>
        <v>0</v>
      </c>
      <c r="DZ92" s="1">
        <f>$AF92*Table1[[#This Row],[Total% (35-39)]]</f>
        <v>0</v>
      </c>
      <c r="EA92" s="1">
        <f>$CT92*Table1[[#This Row],[Female% (35-39)]]</f>
        <v>0</v>
      </c>
      <c r="EB92" s="1">
        <f>$CU92*Table1[[#This Row],[Male% (35-39)]]</f>
        <v>0</v>
      </c>
      <c r="EC92" s="1">
        <f>$AF92*Table1[[#This Row],[Total% (40-44)]]</f>
        <v>0</v>
      </c>
      <c r="ED92" s="1">
        <f>$CT92*Table1[[#This Row],[Female% (40-44)]]</f>
        <v>0</v>
      </c>
      <c r="EE92" s="1">
        <f>$CU92*Table1[[#This Row],[Male%(55-59)]]</f>
        <v>0</v>
      </c>
      <c r="EF92" s="1">
        <f>$AF92*Table1[[#This Row],[Total% (45-49)]]</f>
        <v>0</v>
      </c>
      <c r="EG92" s="1">
        <f>$CT92*Table1[[#This Row],[Female% (45-49)]]</f>
        <v>0</v>
      </c>
      <c r="EH92" s="1">
        <f>$CU92*Table1[[#This Row],[Male% (45-49)]]</f>
        <v>0</v>
      </c>
      <c r="EI92" s="1">
        <f>$AF92*Table1[[#This Row],[Total% (50-54)]]</f>
        <v>0</v>
      </c>
      <c r="EJ92" s="1">
        <f>$CT92*Table1[[#This Row],[Female%(50-54)]]</f>
        <v>0</v>
      </c>
      <c r="EK92" s="1">
        <f>$CU92*Table1[[#This Row],[Male% (50-54)]]</f>
        <v>0</v>
      </c>
      <c r="EL92" s="1">
        <f>$AF92*Table1[[#This Row],[Total% (55-59)]]</f>
        <v>0</v>
      </c>
      <c r="EM92" s="1">
        <f>$CT92*Table1[[#This Row],[Female% (55-59)]]</f>
        <v>0</v>
      </c>
      <c r="EN92" s="1">
        <f>$CU92*Table1[[#This Row],[Male% (55-59)]]</f>
        <v>0</v>
      </c>
      <c r="EO92" s="1">
        <f>$AF92*Table1[[#This Row],[Total% (60-64)]]</f>
        <v>0</v>
      </c>
      <c r="EP92" s="1">
        <f>$CT92*Table1[[#This Row],[Female%(60-64)]]</f>
        <v>0</v>
      </c>
      <c r="EQ92" s="1">
        <f>$CU92*Table1[[#This Row],[Male%(60-64)]]</f>
        <v>0</v>
      </c>
      <c r="ER92" s="1">
        <f>$AF92*Table1[[#This Row],[Total% (&gt;=65)]]</f>
        <v>0</v>
      </c>
      <c r="ES92" s="1">
        <f>$CT92*Table1[[#This Row],[Female%(&gt;=65)]]</f>
        <v>0</v>
      </c>
      <c r="ET92" s="1">
        <f>$CU92*Table1[[#This Row],[Male% (&gt;=65)]]</f>
        <v>0</v>
      </c>
    </row>
    <row r="93" spans="1:150" hidden="1" x14ac:dyDescent="0.35">
      <c r="A93" t="s">
        <v>17</v>
      </c>
      <c r="B93" t="s">
        <v>18</v>
      </c>
      <c r="C93" t="s">
        <v>62</v>
      </c>
      <c r="D93" t="s">
        <v>63</v>
      </c>
      <c r="E93" t="s">
        <v>62</v>
      </c>
      <c r="F93" t="s">
        <v>111</v>
      </c>
      <c r="H93">
        <v>2</v>
      </c>
      <c r="I93" s="1">
        <v>814</v>
      </c>
      <c r="J93" s="1">
        <v>35824</v>
      </c>
      <c r="K93" s="1">
        <v>5758</v>
      </c>
      <c r="L93" s="1">
        <v>0</v>
      </c>
      <c r="M93" s="1">
        <v>0</v>
      </c>
      <c r="N93" s="1">
        <v>5758</v>
      </c>
      <c r="O93" s="3">
        <v>1</v>
      </c>
      <c r="P93" s="3">
        <v>0</v>
      </c>
      <c r="Q93" s="3">
        <v>0</v>
      </c>
      <c r="R93" s="3">
        <v>0</v>
      </c>
      <c r="S93" s="3">
        <v>0</v>
      </c>
      <c r="T93" s="1">
        <v>42396</v>
      </c>
      <c r="U93" s="1">
        <v>0</v>
      </c>
      <c r="V93" s="10">
        <f>Table1[[#This Row],[Pop NW+RATAA]]*Table1[[#This Row],[Perc_pop_Northern_Aleppo]]</f>
        <v>0</v>
      </c>
      <c r="W93" s="10">
        <f>Table1[[#This Row],[Pop NW+RATAA]]*Table1[[#This Row],[Perc_pop_Afrin District]]</f>
        <v>0</v>
      </c>
      <c r="X93" s="10">
        <f>Table1[[#This Row],[Pop NW+RATAA]]*Table1[[#This Row],[Perc_pop_Euphrates Shiled]]</f>
        <v>0</v>
      </c>
      <c r="Y93" s="10">
        <f>Table1[[#This Row],[Pop NW+RATAA]]*Table1[[#This Row],[Perc_Pop_Idleb_NSAG]]</f>
        <v>0</v>
      </c>
      <c r="Z93" s="3">
        <v>0</v>
      </c>
      <c r="AA93" s="3">
        <v>0</v>
      </c>
      <c r="AB93" s="3">
        <v>0</v>
      </c>
      <c r="AC93" s="3">
        <v>0</v>
      </c>
      <c r="AD93" s="1">
        <v>5758</v>
      </c>
      <c r="AE93" s="1">
        <v>0</v>
      </c>
      <c r="AF93" s="1">
        <v>0</v>
      </c>
      <c r="AG93" s="1">
        <v>0</v>
      </c>
      <c r="AH93" s="1">
        <v>0</v>
      </c>
      <c r="AI93" s="1">
        <f>Table1[[#This Row],[NWS_pin]]*Table1[[#This Row],[Perc_pop_Northern_Aleppo]]</f>
        <v>0</v>
      </c>
      <c r="AJ93" s="1">
        <f>Table1[[#This Row],[NWS_pin]]*Table1[[#This Row],[Perc_pop_Afrin District]]</f>
        <v>0</v>
      </c>
      <c r="AK93" s="1">
        <f>Table1[[#This Row],[NWS_pin]]*Table1[[#This Row],[Perc_pop_Euphrates Shiled]]</f>
        <v>0</v>
      </c>
      <c r="AL93" s="1">
        <f>Table1[[#This Row],[NWS_pin]]*Table1[[#This Row],[Perc_Pop_Idleb_NSAG]]</f>
        <v>0</v>
      </c>
      <c r="AM93" s="4">
        <v>0.47831038026997802</v>
      </c>
      <c r="AN93" s="4">
        <v>0.52168961973002204</v>
      </c>
      <c r="AO93" s="4">
        <v>0.21430239511534999</v>
      </c>
      <c r="AP93" s="4">
        <v>0.480651987211068</v>
      </c>
      <c r="AQ93" s="4">
        <v>0.41825055022421498</v>
      </c>
      <c r="AR93" s="4">
        <v>5.8342231997001604E-3</v>
      </c>
      <c r="AS93" s="4">
        <v>0</v>
      </c>
      <c r="AT93" s="4">
        <v>9.5263239365016503E-2</v>
      </c>
      <c r="AU93" s="4">
        <v>3.9519333477189098E-2</v>
      </c>
      <c r="AV93" s="4">
        <v>2.62671548131856E-2</v>
      </c>
      <c r="AW93" s="4">
        <v>5.16695744949527E-2</v>
      </c>
      <c r="AX93" s="4">
        <v>5.8114373410612097E-2</v>
      </c>
      <c r="AY93" s="4">
        <v>5.1862522574434203E-2</v>
      </c>
      <c r="AZ93" s="4">
        <v>6.3846373890880395E-2</v>
      </c>
      <c r="BA93" s="4">
        <v>6.4004393651254599E-2</v>
      </c>
      <c r="BB93" s="4">
        <v>7.49281482990998E-2</v>
      </c>
      <c r="BC93" s="4">
        <v>5.3988964856081803E-2</v>
      </c>
      <c r="BD93" s="4">
        <v>0.10039923339659</v>
      </c>
      <c r="BE93" s="4">
        <v>8.3131539558841103E-2</v>
      </c>
      <c r="BF93" s="4">
        <v>0.11623109374718101</v>
      </c>
      <c r="BG93" s="4">
        <v>6.9760641462327605E-2</v>
      </c>
      <c r="BH93" s="4">
        <v>6.9673311924220202E-2</v>
      </c>
      <c r="BI93" s="4">
        <v>6.9840709424198399E-2</v>
      </c>
      <c r="BJ93" s="4">
        <v>8.6582356424874704E-2</v>
      </c>
      <c r="BK93" s="4">
        <v>3.4344058971097699E-2</v>
      </c>
      <c r="BL93" s="4">
        <v>0.13447696458806299</v>
      </c>
      <c r="BM93" s="4">
        <v>3.5000648695449901E-2</v>
      </c>
      <c r="BN93" s="4">
        <v>2.0048205639919301E-2</v>
      </c>
      <c r="BO93" s="4">
        <v>4.8709774684111903E-2</v>
      </c>
      <c r="BP93" s="4">
        <v>5.7045538420584498E-2</v>
      </c>
      <c r="BQ93" s="4">
        <v>4.63603336448664E-2</v>
      </c>
      <c r="BR93" s="4">
        <v>6.6842253107338795E-2</v>
      </c>
      <c r="BS93" s="4">
        <v>8.9725672408125595E-2</v>
      </c>
      <c r="BT93" s="4">
        <v>0.11669278391084099</v>
      </c>
      <c r="BU93" s="4">
        <v>6.5000914870642496E-2</v>
      </c>
      <c r="BV93" s="4">
        <v>6.1371295125507402E-2</v>
      </c>
      <c r="BW93" s="4">
        <v>8.27886189716599E-2</v>
      </c>
      <c r="BX93" s="4">
        <v>4.1734852448116498E-2</v>
      </c>
      <c r="BY93" s="4">
        <v>5.1045945787882602E-2</v>
      </c>
      <c r="BZ93" s="4">
        <v>5.4247507150034797E-2</v>
      </c>
      <c r="CA93" s="4">
        <v>4.8110598840820203E-2</v>
      </c>
      <c r="CB93" s="4">
        <v>4.4409757724013399E-2</v>
      </c>
      <c r="CC93" s="4">
        <v>6.1243649293429001E-2</v>
      </c>
      <c r="CD93" s="4">
        <v>2.8975628361505301E-2</v>
      </c>
      <c r="CE93" s="4">
        <v>5.01989444750306E-2</v>
      </c>
      <c r="CF93" s="4">
        <v>6.3523227950838701E-2</v>
      </c>
      <c r="CG93" s="4">
        <v>3.7982594263889898E-2</v>
      </c>
      <c r="CH93" s="4">
        <v>4.8474691802438998E-2</v>
      </c>
      <c r="CI93" s="4">
        <v>5.2579282818132601E-2</v>
      </c>
      <c r="CJ93" s="4">
        <v>4.4711403411565501E-2</v>
      </c>
      <c r="CK93" s="4">
        <v>3.9950228589520999E-2</v>
      </c>
      <c r="CL93" s="4">
        <v>4.5893736780341102E-2</v>
      </c>
      <c r="CM93" s="4">
        <v>3.45009316217951E-2</v>
      </c>
      <c r="CN93" s="4">
        <v>2.6912458380977201E-2</v>
      </c>
      <c r="CO93" s="4">
        <v>1.7855762541547499E-2</v>
      </c>
      <c r="CP93" s="4">
        <v>3.5216076983143198E-2</v>
      </c>
      <c r="CQ93" s="4">
        <v>7.7484486767621194E-2</v>
      </c>
      <c r="CR93" s="4">
        <v>9.8560155157511598E-2</v>
      </c>
      <c r="CS93" s="4">
        <v>5.8161290405712898E-2</v>
      </c>
      <c r="CT93" s="1">
        <f>Table1[[#This Row],[Female %]]*Table1[[#This Row],[NWS_pin]]</f>
        <v>0</v>
      </c>
      <c r="CU93" s="1">
        <f>Table1[[#This Row],[Male %]]*Table1[[#This Row],[NWS_pin]]</f>
        <v>0</v>
      </c>
      <c r="CV93" s="1">
        <f>Table1[[#This Row],[Female% (0-2)22]]+Table1[[#This Row],[Male%(0-2)3]]</f>
        <v>0</v>
      </c>
      <c r="CW93" s="1">
        <f>$CT93*Table1[[#This Row],[Female% (0-2)]]</f>
        <v>0</v>
      </c>
      <c r="CX93" s="1">
        <f>$CU93*Table1[[#This Row],[Male%(0-2)]]</f>
        <v>0</v>
      </c>
      <c r="CY93" s="1">
        <f>Table1[[#This Row],[Female%  (3-5)5]]+Table1[[#This Row],[Male% (3-5)6]]</f>
        <v>0</v>
      </c>
      <c r="CZ93" s="1">
        <f>$AF93*Table1[[#This Row],[Female%  (3-5)]]</f>
        <v>0</v>
      </c>
      <c r="DA93" s="1">
        <f>$CU93*Table1[[#This Row],[Male% (3-5)]]</f>
        <v>0</v>
      </c>
      <c r="DB93" s="1">
        <f>Table1[[#This Row],[Female% (6-8)8]]+Table1[[#This Row],[Male%(6-8)9]]</f>
        <v>0</v>
      </c>
      <c r="DC93" s="1">
        <f>$CT93*Table1[[#This Row],[Female% (6-8)]]</f>
        <v>0</v>
      </c>
      <c r="DD93" s="1">
        <f>$CU93*Table1[[#This Row],[Male%(6-8)]]</f>
        <v>0</v>
      </c>
      <c r="DE93" s="1">
        <f>Table1[[#This Row],[Female% (9 - 11)11]]+Table1[[#This Row],[Male% (9 - 11)12]]</f>
        <v>0</v>
      </c>
      <c r="DF93" s="1">
        <f>$CT93*Table1[[#This Row],[Female% (9 - 11)]]</f>
        <v>0</v>
      </c>
      <c r="DG93" s="1">
        <f>$CU93*Table1[[#This Row],[Male% (9 - 11)]]</f>
        <v>0</v>
      </c>
      <c r="DH93" s="1">
        <f>Table1[[#This Row],[Female% (12-14)14]]+Table1[[#This Row],[Male%(12-14)15]]</f>
        <v>0</v>
      </c>
      <c r="DI93" s="1">
        <f>$CT93*Table1[[#This Row],[Female% (12-14)]]</f>
        <v>0</v>
      </c>
      <c r="DJ93" s="1">
        <f>$CU93*Table1[[#This Row],[Male%(12-14)]]</f>
        <v>0</v>
      </c>
      <c r="DK93" s="1">
        <f>Table1[[#This Row],[Female% (15-17)17]]+Table1[[#This Row],[Male%(15-17)18]]</f>
        <v>0</v>
      </c>
      <c r="DL93" s="1">
        <f>$CT93*Table1[[#This Row],[Female% (15-17)]]</f>
        <v>0</v>
      </c>
      <c r="DM93" s="1">
        <f>$CU93*Table1[[#This Row],[Male%(15-17)]]</f>
        <v>0</v>
      </c>
      <c r="DN93" s="1">
        <f>$AF93*Table1[[#This Row],[Total% (18-19)]]</f>
        <v>0</v>
      </c>
      <c r="DO93" s="1">
        <f>$CT93*Table1[[#This Row],[Female% (18-19)]]</f>
        <v>0</v>
      </c>
      <c r="DP93" s="1">
        <f>$CU93*Table1[[#This Row],[Male%(18-19)]]</f>
        <v>0</v>
      </c>
      <c r="DQ93" s="1">
        <f>$AF93*Table1[[#This Row],[Total% (20-24)]]</f>
        <v>0</v>
      </c>
      <c r="DR93" s="1">
        <f>$CT93*Table1[[#This Row],[Female% (20-24)]]</f>
        <v>0</v>
      </c>
      <c r="DS93" s="1">
        <f>$CU93*Table1[[#This Row],[Male% (20-24)]]</f>
        <v>0</v>
      </c>
      <c r="DT93" s="1">
        <f>$AF93*Table1[[#This Row],[Total% (25-29)]]</f>
        <v>0</v>
      </c>
      <c r="DU93" s="1">
        <f>$CT93*Table1[[#This Row],[Female% (25-29)]]</f>
        <v>0</v>
      </c>
      <c r="DV93" s="1">
        <f>$CU93*Table1[[#This Row],[Male% (25-29)]]</f>
        <v>0</v>
      </c>
      <c r="DW93" s="1">
        <f>$AF93*Table1[[#This Row],[Total%   (30-34)]]</f>
        <v>0</v>
      </c>
      <c r="DX93" s="1">
        <f>$CT93*Table1[[#This Row],[Female%   (30-34)]]</f>
        <v>0</v>
      </c>
      <c r="DY93" s="1">
        <f>$CU93*Table1[[#This Row],[Male%  (30-34)]]</f>
        <v>0</v>
      </c>
      <c r="DZ93" s="1">
        <f>$AF93*Table1[[#This Row],[Total% (35-39)]]</f>
        <v>0</v>
      </c>
      <c r="EA93" s="1">
        <f>$CT93*Table1[[#This Row],[Female% (35-39)]]</f>
        <v>0</v>
      </c>
      <c r="EB93" s="1">
        <f>$CU93*Table1[[#This Row],[Male% (35-39)]]</f>
        <v>0</v>
      </c>
      <c r="EC93" s="1">
        <f>$AF93*Table1[[#This Row],[Total% (40-44)]]</f>
        <v>0</v>
      </c>
      <c r="ED93" s="1">
        <f>$CT93*Table1[[#This Row],[Female% (40-44)]]</f>
        <v>0</v>
      </c>
      <c r="EE93" s="1">
        <f>$CU93*Table1[[#This Row],[Male%(55-59)]]</f>
        <v>0</v>
      </c>
      <c r="EF93" s="1">
        <f>$AF93*Table1[[#This Row],[Total% (45-49)]]</f>
        <v>0</v>
      </c>
      <c r="EG93" s="1">
        <f>$CT93*Table1[[#This Row],[Female% (45-49)]]</f>
        <v>0</v>
      </c>
      <c r="EH93" s="1">
        <f>$CU93*Table1[[#This Row],[Male% (45-49)]]</f>
        <v>0</v>
      </c>
      <c r="EI93" s="1">
        <f>$AF93*Table1[[#This Row],[Total% (50-54)]]</f>
        <v>0</v>
      </c>
      <c r="EJ93" s="1">
        <f>$CT93*Table1[[#This Row],[Female%(50-54)]]</f>
        <v>0</v>
      </c>
      <c r="EK93" s="1">
        <f>$CU93*Table1[[#This Row],[Male% (50-54)]]</f>
        <v>0</v>
      </c>
      <c r="EL93" s="1">
        <f>$AF93*Table1[[#This Row],[Total% (55-59)]]</f>
        <v>0</v>
      </c>
      <c r="EM93" s="1">
        <f>$CT93*Table1[[#This Row],[Female% (55-59)]]</f>
        <v>0</v>
      </c>
      <c r="EN93" s="1">
        <f>$CU93*Table1[[#This Row],[Male% (55-59)]]</f>
        <v>0</v>
      </c>
      <c r="EO93" s="1">
        <f>$AF93*Table1[[#This Row],[Total% (60-64)]]</f>
        <v>0</v>
      </c>
      <c r="EP93" s="1">
        <f>$CT93*Table1[[#This Row],[Female%(60-64)]]</f>
        <v>0</v>
      </c>
      <c r="EQ93" s="1">
        <f>$CU93*Table1[[#This Row],[Male%(60-64)]]</f>
        <v>0</v>
      </c>
      <c r="ER93" s="1">
        <f>$AF93*Table1[[#This Row],[Total% (&gt;=65)]]</f>
        <v>0</v>
      </c>
      <c r="ES93" s="1">
        <f>$CT93*Table1[[#This Row],[Female%(&gt;=65)]]</f>
        <v>0</v>
      </c>
      <c r="ET93" s="1">
        <f>$CU93*Table1[[#This Row],[Male% (&gt;=65)]]</f>
        <v>0</v>
      </c>
    </row>
    <row r="94" spans="1:150" hidden="1" x14ac:dyDescent="0.35">
      <c r="A94" t="s">
        <v>17</v>
      </c>
      <c r="B94" t="s">
        <v>18</v>
      </c>
      <c r="C94" t="s">
        <v>62</v>
      </c>
      <c r="D94" t="s">
        <v>63</v>
      </c>
      <c r="E94" t="s">
        <v>520</v>
      </c>
      <c r="F94" t="s">
        <v>521</v>
      </c>
      <c r="H94">
        <v>2</v>
      </c>
      <c r="I94" s="1">
        <v>1321</v>
      </c>
      <c r="J94" s="1">
        <v>32152</v>
      </c>
      <c r="K94" s="1">
        <v>10571</v>
      </c>
      <c r="L94" s="1">
        <v>0</v>
      </c>
      <c r="M94" s="1">
        <v>0</v>
      </c>
      <c r="N94" s="1">
        <v>10571</v>
      </c>
      <c r="O94" s="3">
        <v>1</v>
      </c>
      <c r="P94" s="3">
        <v>0</v>
      </c>
      <c r="Q94" s="3">
        <v>0</v>
      </c>
      <c r="R94" s="3">
        <v>0</v>
      </c>
      <c r="S94" s="3">
        <v>0</v>
      </c>
      <c r="T94" s="1">
        <v>44044</v>
      </c>
      <c r="U94" s="1">
        <v>0</v>
      </c>
      <c r="V94" s="10">
        <f>Table1[[#This Row],[Pop NW+RATAA]]*Table1[[#This Row],[Perc_pop_Northern_Aleppo]]</f>
        <v>0</v>
      </c>
      <c r="W94" s="10">
        <f>Table1[[#This Row],[Pop NW+RATAA]]*Table1[[#This Row],[Perc_pop_Afrin District]]</f>
        <v>0</v>
      </c>
      <c r="X94" s="10">
        <f>Table1[[#This Row],[Pop NW+RATAA]]*Table1[[#This Row],[Perc_pop_Euphrates Shiled]]</f>
        <v>0</v>
      </c>
      <c r="Y94" s="10">
        <f>Table1[[#This Row],[Pop NW+RATAA]]*Table1[[#This Row],[Perc_Pop_Idleb_NSAG]]</f>
        <v>0</v>
      </c>
      <c r="Z94" s="3">
        <v>0</v>
      </c>
      <c r="AA94" s="3">
        <v>0</v>
      </c>
      <c r="AB94" s="3">
        <v>0</v>
      </c>
      <c r="AC94" s="3">
        <v>0</v>
      </c>
      <c r="AD94" s="1">
        <v>10571</v>
      </c>
      <c r="AE94" s="1">
        <v>0</v>
      </c>
      <c r="AF94" s="1">
        <v>0</v>
      </c>
      <c r="AG94" s="1">
        <v>0</v>
      </c>
      <c r="AH94" s="1">
        <v>0</v>
      </c>
      <c r="AI94" s="1">
        <f>Table1[[#This Row],[NWS_pin]]*Table1[[#This Row],[Perc_pop_Northern_Aleppo]]</f>
        <v>0</v>
      </c>
      <c r="AJ94" s="1">
        <f>Table1[[#This Row],[NWS_pin]]*Table1[[#This Row],[Perc_pop_Afrin District]]</f>
        <v>0</v>
      </c>
      <c r="AK94" s="1">
        <f>Table1[[#This Row],[NWS_pin]]*Table1[[#This Row],[Perc_pop_Euphrates Shiled]]</f>
        <v>0</v>
      </c>
      <c r="AL94" s="1">
        <f>Table1[[#This Row],[NWS_pin]]*Table1[[#This Row],[Perc_Pop_Idleb_NSAG]]</f>
        <v>0</v>
      </c>
      <c r="AM94" s="4">
        <v>0.491463676278935</v>
      </c>
      <c r="AN94" s="4">
        <v>0.50853632372106505</v>
      </c>
      <c r="AO94" s="4">
        <v>0.15163412010171501</v>
      </c>
      <c r="AP94" s="4">
        <v>0.377748458218927</v>
      </c>
      <c r="AQ94" s="4">
        <v>0.58980860921957201</v>
      </c>
      <c r="AR94" s="4">
        <v>6.4815513409403501E-3</v>
      </c>
      <c r="AS94" s="4">
        <v>0</v>
      </c>
      <c r="AT94" s="4">
        <v>2.5961381220560801E-2</v>
      </c>
      <c r="AU94" s="4">
        <v>5.0352350019380203E-2</v>
      </c>
      <c r="AV94" s="4">
        <v>3.9295724959832697E-2</v>
      </c>
      <c r="AW94" s="4">
        <v>6.1037780627840703E-2</v>
      </c>
      <c r="AX94" s="4">
        <v>6.0111437630198501E-2</v>
      </c>
      <c r="AY94" s="4">
        <v>5.46163735030991E-2</v>
      </c>
      <c r="AZ94" s="4">
        <v>6.5422020751442905E-2</v>
      </c>
      <c r="BA94" s="4">
        <v>6.3122059382480403E-2</v>
      </c>
      <c r="BB94" s="4">
        <v>5.9089128796108698E-2</v>
      </c>
      <c r="BC94" s="4">
        <v>6.7019595899937001E-2</v>
      </c>
      <c r="BD94" s="4">
        <v>8.7357716291693893E-2</v>
      </c>
      <c r="BE94" s="4">
        <v>8.5814659836363702E-2</v>
      </c>
      <c r="BF94" s="4">
        <v>8.8848969055495497E-2</v>
      </c>
      <c r="BG94" s="4">
        <v>8.8517048069757798E-2</v>
      </c>
      <c r="BH94" s="4">
        <v>7.9284223834222206E-2</v>
      </c>
      <c r="BI94" s="4">
        <v>9.7439906732106799E-2</v>
      </c>
      <c r="BJ94" s="4">
        <v>5.51996717577974E-2</v>
      </c>
      <c r="BK94" s="4">
        <v>3.4299417915471697E-2</v>
      </c>
      <c r="BL94" s="4">
        <v>7.5398259566338E-2</v>
      </c>
      <c r="BM94" s="4">
        <v>1.6846376124061601E-2</v>
      </c>
      <c r="BN94" s="4">
        <v>2.3222634713332E-2</v>
      </c>
      <c r="BO94" s="4">
        <v>1.0684182115464499E-2</v>
      </c>
      <c r="BP94" s="4">
        <v>3.6315781509398501E-2</v>
      </c>
      <c r="BQ94" s="4">
        <v>4.3403707575963298E-2</v>
      </c>
      <c r="BR94" s="4">
        <v>2.9465812216393002E-2</v>
      </c>
      <c r="BS94" s="4">
        <v>7.39558423830214E-2</v>
      </c>
      <c r="BT94" s="4">
        <v>0.106246219742836</v>
      </c>
      <c r="BU94" s="4">
        <v>4.2749521761580499E-2</v>
      </c>
      <c r="BV94" s="4">
        <v>0.124951151852451</v>
      </c>
      <c r="BW94" s="4">
        <v>0.142278479473533</v>
      </c>
      <c r="BX94" s="4">
        <v>0.108205539522471</v>
      </c>
      <c r="BY94" s="4">
        <v>8.1525094466257303E-2</v>
      </c>
      <c r="BZ94" s="4">
        <v>6.9335171643807605E-2</v>
      </c>
      <c r="CA94" s="4">
        <v>9.3305775618079304E-2</v>
      </c>
      <c r="CB94" s="4">
        <v>7.4048996625676697E-2</v>
      </c>
      <c r="CC94" s="4">
        <v>7.4635897176171598E-2</v>
      </c>
      <c r="CD94" s="4">
        <v>7.3481799576612897E-2</v>
      </c>
      <c r="CE94" s="4">
        <v>4.6114844000859599E-2</v>
      </c>
      <c r="CF94" s="4">
        <v>3.4665293735527E-2</v>
      </c>
      <c r="CG94" s="4">
        <v>5.7180008479114801E-2</v>
      </c>
      <c r="CH94" s="4">
        <v>2.6692088024157099E-2</v>
      </c>
      <c r="CI94" s="4">
        <v>3.6799630638247503E-2</v>
      </c>
      <c r="CJ94" s="4">
        <v>1.69238771421522E-2</v>
      </c>
      <c r="CK94" s="4">
        <v>3.71684705321517E-2</v>
      </c>
      <c r="CL94" s="4">
        <v>4.4596818206588798E-2</v>
      </c>
      <c r="CM94" s="4">
        <v>2.99895083096628E-2</v>
      </c>
      <c r="CN94" s="4">
        <v>3.38081348376097E-2</v>
      </c>
      <c r="CO94" s="4">
        <v>2.5906459489187399E-2</v>
      </c>
      <c r="CP94" s="4">
        <v>4.1444534115999E-2</v>
      </c>
      <c r="CQ94" s="4">
        <v>4.3912936493046797E-2</v>
      </c>
      <c r="CR94" s="4">
        <v>4.6510158759708098E-2</v>
      </c>
      <c r="CS94" s="4">
        <v>4.1402908509309298E-2</v>
      </c>
      <c r="CT94" s="1">
        <f>Table1[[#This Row],[Female %]]*Table1[[#This Row],[NWS_pin]]</f>
        <v>0</v>
      </c>
      <c r="CU94" s="1">
        <f>Table1[[#This Row],[Male %]]*Table1[[#This Row],[NWS_pin]]</f>
        <v>0</v>
      </c>
      <c r="CV94" s="1">
        <f>Table1[[#This Row],[Female% (0-2)22]]+Table1[[#This Row],[Male%(0-2)3]]</f>
        <v>0</v>
      </c>
      <c r="CW94" s="1">
        <f>$CT94*Table1[[#This Row],[Female% (0-2)]]</f>
        <v>0</v>
      </c>
      <c r="CX94" s="1">
        <f>$CU94*Table1[[#This Row],[Male%(0-2)]]</f>
        <v>0</v>
      </c>
      <c r="CY94" s="1">
        <f>Table1[[#This Row],[Female%  (3-5)5]]+Table1[[#This Row],[Male% (3-5)6]]</f>
        <v>0</v>
      </c>
      <c r="CZ94" s="1">
        <f>$AF94*Table1[[#This Row],[Female%  (3-5)]]</f>
        <v>0</v>
      </c>
      <c r="DA94" s="1">
        <f>$CU94*Table1[[#This Row],[Male% (3-5)]]</f>
        <v>0</v>
      </c>
      <c r="DB94" s="1">
        <f>Table1[[#This Row],[Female% (6-8)8]]+Table1[[#This Row],[Male%(6-8)9]]</f>
        <v>0</v>
      </c>
      <c r="DC94" s="1">
        <f>$CT94*Table1[[#This Row],[Female% (6-8)]]</f>
        <v>0</v>
      </c>
      <c r="DD94" s="1">
        <f>$CU94*Table1[[#This Row],[Male%(6-8)]]</f>
        <v>0</v>
      </c>
      <c r="DE94" s="1">
        <f>Table1[[#This Row],[Female% (9 - 11)11]]+Table1[[#This Row],[Male% (9 - 11)12]]</f>
        <v>0</v>
      </c>
      <c r="DF94" s="1">
        <f>$CT94*Table1[[#This Row],[Female% (9 - 11)]]</f>
        <v>0</v>
      </c>
      <c r="DG94" s="1">
        <f>$CU94*Table1[[#This Row],[Male% (9 - 11)]]</f>
        <v>0</v>
      </c>
      <c r="DH94" s="1">
        <f>Table1[[#This Row],[Female% (12-14)14]]+Table1[[#This Row],[Male%(12-14)15]]</f>
        <v>0</v>
      </c>
      <c r="DI94" s="1">
        <f>$CT94*Table1[[#This Row],[Female% (12-14)]]</f>
        <v>0</v>
      </c>
      <c r="DJ94" s="1">
        <f>$CU94*Table1[[#This Row],[Male%(12-14)]]</f>
        <v>0</v>
      </c>
      <c r="DK94" s="1">
        <f>Table1[[#This Row],[Female% (15-17)17]]+Table1[[#This Row],[Male%(15-17)18]]</f>
        <v>0</v>
      </c>
      <c r="DL94" s="1">
        <f>$CT94*Table1[[#This Row],[Female% (15-17)]]</f>
        <v>0</v>
      </c>
      <c r="DM94" s="1">
        <f>$CU94*Table1[[#This Row],[Male%(15-17)]]</f>
        <v>0</v>
      </c>
      <c r="DN94" s="1">
        <f>$AF94*Table1[[#This Row],[Total% (18-19)]]</f>
        <v>0</v>
      </c>
      <c r="DO94" s="1">
        <f>$CT94*Table1[[#This Row],[Female% (18-19)]]</f>
        <v>0</v>
      </c>
      <c r="DP94" s="1">
        <f>$CU94*Table1[[#This Row],[Male%(18-19)]]</f>
        <v>0</v>
      </c>
      <c r="DQ94" s="1">
        <f>$AF94*Table1[[#This Row],[Total% (20-24)]]</f>
        <v>0</v>
      </c>
      <c r="DR94" s="1">
        <f>$CT94*Table1[[#This Row],[Female% (20-24)]]</f>
        <v>0</v>
      </c>
      <c r="DS94" s="1">
        <f>$CU94*Table1[[#This Row],[Male% (20-24)]]</f>
        <v>0</v>
      </c>
      <c r="DT94" s="1">
        <f>$AF94*Table1[[#This Row],[Total% (25-29)]]</f>
        <v>0</v>
      </c>
      <c r="DU94" s="1">
        <f>$CT94*Table1[[#This Row],[Female% (25-29)]]</f>
        <v>0</v>
      </c>
      <c r="DV94" s="1">
        <f>$CU94*Table1[[#This Row],[Male% (25-29)]]</f>
        <v>0</v>
      </c>
      <c r="DW94" s="1">
        <f>$AF94*Table1[[#This Row],[Total%   (30-34)]]</f>
        <v>0</v>
      </c>
      <c r="DX94" s="1">
        <f>$CT94*Table1[[#This Row],[Female%   (30-34)]]</f>
        <v>0</v>
      </c>
      <c r="DY94" s="1">
        <f>$CU94*Table1[[#This Row],[Male%  (30-34)]]</f>
        <v>0</v>
      </c>
      <c r="DZ94" s="1">
        <f>$AF94*Table1[[#This Row],[Total% (35-39)]]</f>
        <v>0</v>
      </c>
      <c r="EA94" s="1">
        <f>$CT94*Table1[[#This Row],[Female% (35-39)]]</f>
        <v>0</v>
      </c>
      <c r="EB94" s="1">
        <f>$CU94*Table1[[#This Row],[Male% (35-39)]]</f>
        <v>0</v>
      </c>
      <c r="EC94" s="1">
        <f>$AF94*Table1[[#This Row],[Total% (40-44)]]</f>
        <v>0</v>
      </c>
      <c r="ED94" s="1">
        <f>$CT94*Table1[[#This Row],[Female% (40-44)]]</f>
        <v>0</v>
      </c>
      <c r="EE94" s="1">
        <f>$CU94*Table1[[#This Row],[Male%(55-59)]]</f>
        <v>0</v>
      </c>
      <c r="EF94" s="1">
        <f>$AF94*Table1[[#This Row],[Total% (45-49)]]</f>
        <v>0</v>
      </c>
      <c r="EG94" s="1">
        <f>$CT94*Table1[[#This Row],[Female% (45-49)]]</f>
        <v>0</v>
      </c>
      <c r="EH94" s="1">
        <f>$CU94*Table1[[#This Row],[Male% (45-49)]]</f>
        <v>0</v>
      </c>
      <c r="EI94" s="1">
        <f>$AF94*Table1[[#This Row],[Total% (50-54)]]</f>
        <v>0</v>
      </c>
      <c r="EJ94" s="1">
        <f>$CT94*Table1[[#This Row],[Female%(50-54)]]</f>
        <v>0</v>
      </c>
      <c r="EK94" s="1">
        <f>$CU94*Table1[[#This Row],[Male% (50-54)]]</f>
        <v>0</v>
      </c>
      <c r="EL94" s="1">
        <f>$AF94*Table1[[#This Row],[Total% (55-59)]]</f>
        <v>0</v>
      </c>
      <c r="EM94" s="1">
        <f>$CT94*Table1[[#This Row],[Female% (55-59)]]</f>
        <v>0</v>
      </c>
      <c r="EN94" s="1">
        <f>$CU94*Table1[[#This Row],[Male% (55-59)]]</f>
        <v>0</v>
      </c>
      <c r="EO94" s="1">
        <f>$AF94*Table1[[#This Row],[Total% (60-64)]]</f>
        <v>0</v>
      </c>
      <c r="EP94" s="1">
        <f>$CT94*Table1[[#This Row],[Female%(60-64)]]</f>
        <v>0</v>
      </c>
      <c r="EQ94" s="1">
        <f>$CU94*Table1[[#This Row],[Male%(60-64)]]</f>
        <v>0</v>
      </c>
      <c r="ER94" s="1">
        <f>$AF94*Table1[[#This Row],[Total% (&gt;=65)]]</f>
        <v>0</v>
      </c>
      <c r="ES94" s="1">
        <f>$CT94*Table1[[#This Row],[Female%(&gt;=65)]]</f>
        <v>0</v>
      </c>
      <c r="ET94" s="1">
        <f>$CU94*Table1[[#This Row],[Male% (&gt;=65)]]</f>
        <v>0</v>
      </c>
    </row>
    <row r="95" spans="1:150" hidden="1" x14ac:dyDescent="0.35">
      <c r="A95" t="s">
        <v>17</v>
      </c>
      <c r="B95" t="s">
        <v>18</v>
      </c>
      <c r="C95" t="s">
        <v>62</v>
      </c>
      <c r="D95" t="s">
        <v>63</v>
      </c>
      <c r="E95" t="s">
        <v>64</v>
      </c>
      <c r="F95" t="s">
        <v>65</v>
      </c>
      <c r="H95">
        <v>2</v>
      </c>
      <c r="I95" s="1">
        <v>0</v>
      </c>
      <c r="J95" s="1">
        <v>54290</v>
      </c>
      <c r="K95" s="1">
        <v>2695</v>
      </c>
      <c r="L95" s="1">
        <v>0</v>
      </c>
      <c r="M95" s="1">
        <v>0</v>
      </c>
      <c r="N95" s="1">
        <v>2695</v>
      </c>
      <c r="O95" s="3">
        <v>1</v>
      </c>
      <c r="P95" s="3">
        <v>0</v>
      </c>
      <c r="Q95" s="3">
        <v>0</v>
      </c>
      <c r="R95" s="3">
        <v>0</v>
      </c>
      <c r="S95" s="3">
        <v>0</v>
      </c>
      <c r="T95" s="1">
        <v>56985</v>
      </c>
      <c r="U95" s="1">
        <v>0</v>
      </c>
      <c r="V95" s="10">
        <f>Table1[[#This Row],[Pop NW+RATAA]]*Table1[[#This Row],[Perc_pop_Northern_Aleppo]]</f>
        <v>0</v>
      </c>
      <c r="W95" s="10">
        <f>Table1[[#This Row],[Pop NW+RATAA]]*Table1[[#This Row],[Perc_pop_Afrin District]]</f>
        <v>0</v>
      </c>
      <c r="X95" s="10">
        <f>Table1[[#This Row],[Pop NW+RATAA]]*Table1[[#This Row],[Perc_pop_Euphrates Shiled]]</f>
        <v>0</v>
      </c>
      <c r="Y95" s="10">
        <f>Table1[[#This Row],[Pop NW+RATAA]]*Table1[[#This Row],[Perc_Pop_Idleb_NSAG]]</f>
        <v>0</v>
      </c>
      <c r="Z95" s="3">
        <v>0</v>
      </c>
      <c r="AA95" s="3">
        <v>0</v>
      </c>
      <c r="AB95" s="3">
        <v>0</v>
      </c>
      <c r="AC95" s="3">
        <v>0</v>
      </c>
      <c r="AD95" s="1">
        <v>2695</v>
      </c>
      <c r="AE95" s="1">
        <v>0</v>
      </c>
      <c r="AF95" s="1">
        <v>0</v>
      </c>
      <c r="AG95" s="1">
        <v>0</v>
      </c>
      <c r="AH95" s="1">
        <v>0</v>
      </c>
      <c r="AI95" s="1">
        <f>Table1[[#This Row],[NWS_pin]]*Table1[[#This Row],[Perc_pop_Northern_Aleppo]]</f>
        <v>0</v>
      </c>
      <c r="AJ95" s="1">
        <f>Table1[[#This Row],[NWS_pin]]*Table1[[#This Row],[Perc_pop_Afrin District]]</f>
        <v>0</v>
      </c>
      <c r="AK95" s="1">
        <f>Table1[[#This Row],[NWS_pin]]*Table1[[#This Row],[Perc_pop_Euphrates Shiled]]</f>
        <v>0</v>
      </c>
      <c r="AL95" s="1">
        <f>Table1[[#This Row],[NWS_pin]]*Table1[[#This Row],[Perc_Pop_Idleb_NSAG]]</f>
        <v>0</v>
      </c>
      <c r="AM95" s="4">
        <v>0.53518844989815195</v>
      </c>
      <c r="AN95" s="4">
        <v>0.46481155010184799</v>
      </c>
      <c r="AO95" s="4">
        <v>5.01604545722193E-2</v>
      </c>
      <c r="AP95" s="4">
        <v>0.41794709829503301</v>
      </c>
      <c r="AQ95" s="4">
        <v>0.56216434704608798</v>
      </c>
      <c r="AR95" s="4">
        <v>0</v>
      </c>
      <c r="AS95" s="4">
        <v>0</v>
      </c>
      <c r="AT95" s="4">
        <v>1.9888554658878298E-2</v>
      </c>
      <c r="AU95" s="4">
        <v>2.7065703522641698E-3</v>
      </c>
      <c r="AV95" s="4">
        <v>5.0572286318571399E-3</v>
      </c>
      <c r="AW95" s="4">
        <v>0</v>
      </c>
      <c r="AX95" s="4">
        <v>8.5023206691560108E-3</v>
      </c>
      <c r="AY95" s="4">
        <v>1.19396359251233E-2</v>
      </c>
      <c r="AZ95" s="4">
        <v>4.5445631150476404E-3</v>
      </c>
      <c r="BA95" s="4">
        <v>2.8175485522292799E-2</v>
      </c>
      <c r="BB95" s="4">
        <v>3.6017527154677403E-2</v>
      </c>
      <c r="BC95" s="4">
        <v>1.914608402753E-2</v>
      </c>
      <c r="BD95" s="4">
        <v>4.3143052145203802E-2</v>
      </c>
      <c r="BE95" s="4">
        <v>3.5697199403971598E-2</v>
      </c>
      <c r="BF95" s="4">
        <v>5.1716277973771999E-2</v>
      </c>
      <c r="BG95" s="4">
        <v>4.36274332037399E-2</v>
      </c>
      <c r="BH95" s="4">
        <v>3.22974838619094E-2</v>
      </c>
      <c r="BI95" s="4">
        <v>5.6672844885850997E-2</v>
      </c>
      <c r="BJ95" s="4">
        <v>7.5030197150158004E-2</v>
      </c>
      <c r="BK95" s="4">
        <v>6.8678699635752793E-2</v>
      </c>
      <c r="BL95" s="4">
        <v>8.2343371937922405E-2</v>
      </c>
      <c r="BM95" s="4">
        <v>3.4649011688835801E-2</v>
      </c>
      <c r="BN95" s="4">
        <v>3.6649265746206798E-2</v>
      </c>
      <c r="BO95" s="4">
        <v>3.2345900098488603E-2</v>
      </c>
      <c r="BP95" s="4">
        <v>0.14370435717780999</v>
      </c>
      <c r="BQ95" s="4">
        <v>0.14253471888776501</v>
      </c>
      <c r="BR95" s="4">
        <v>0.145051089855286</v>
      </c>
      <c r="BS95" s="4">
        <v>5.16828330892702E-2</v>
      </c>
      <c r="BT95" s="4">
        <v>7.5750128393393706E-2</v>
      </c>
      <c r="BU95" s="4">
        <v>2.3971519839346499E-2</v>
      </c>
      <c r="BV95" s="4">
        <v>4.7232634434778596E-3</v>
      </c>
      <c r="BW95" s="4">
        <v>8.8254211098477697E-3</v>
      </c>
      <c r="BX95" s="4">
        <v>0</v>
      </c>
      <c r="BY95" s="4">
        <v>2.89429541858446E-2</v>
      </c>
      <c r="BZ95" s="4">
        <v>4.5254509410612001E-2</v>
      </c>
      <c r="CA95" s="4">
        <v>1.0161673999802501E-2</v>
      </c>
      <c r="CB95" s="4">
        <v>6.0942462931184403E-2</v>
      </c>
      <c r="CC95" s="4">
        <v>8.4725753679728399E-2</v>
      </c>
      <c r="CD95" s="4">
        <v>3.3558155234008499E-2</v>
      </c>
      <c r="CE95" s="4">
        <v>9.2583667393032296E-2</v>
      </c>
      <c r="CF95" s="4">
        <v>0.105711509554634</v>
      </c>
      <c r="CG95" s="4">
        <v>7.7468144778683204E-2</v>
      </c>
      <c r="CH95" s="4">
        <v>0.105202461111588</v>
      </c>
      <c r="CI95" s="4">
        <v>9.2505608582025597E-2</v>
      </c>
      <c r="CJ95" s="4">
        <v>0.119821738154925</v>
      </c>
      <c r="CK95" s="4">
        <v>0.12903319255984499</v>
      </c>
      <c r="CL95" s="4">
        <v>0.107595829248411</v>
      </c>
      <c r="CM95" s="4">
        <v>0.15371637704189101</v>
      </c>
      <c r="CN95" s="4">
        <v>7.3612908320982898E-2</v>
      </c>
      <c r="CO95" s="4">
        <v>4.3911546169296101E-2</v>
      </c>
      <c r="CP95" s="4">
        <v>0.107811339849506</v>
      </c>
      <c r="CQ95" s="4">
        <v>7.3737829055314494E-2</v>
      </c>
      <c r="CR95" s="4">
        <v>6.6847934604787496E-2</v>
      </c>
      <c r="CS95" s="4">
        <v>8.1670919207939702E-2</v>
      </c>
      <c r="CT95" s="1">
        <f>Table1[[#This Row],[Female %]]*Table1[[#This Row],[NWS_pin]]</f>
        <v>0</v>
      </c>
      <c r="CU95" s="1">
        <f>Table1[[#This Row],[Male %]]*Table1[[#This Row],[NWS_pin]]</f>
        <v>0</v>
      </c>
      <c r="CV95" s="1">
        <f>Table1[[#This Row],[Female% (0-2)22]]+Table1[[#This Row],[Male%(0-2)3]]</f>
        <v>0</v>
      </c>
      <c r="CW95" s="1">
        <f>$CT95*Table1[[#This Row],[Female% (0-2)]]</f>
        <v>0</v>
      </c>
      <c r="CX95" s="1">
        <f>$CU95*Table1[[#This Row],[Male%(0-2)]]</f>
        <v>0</v>
      </c>
      <c r="CY95" s="1">
        <f>Table1[[#This Row],[Female%  (3-5)5]]+Table1[[#This Row],[Male% (3-5)6]]</f>
        <v>0</v>
      </c>
      <c r="CZ95" s="1">
        <f>$AF95*Table1[[#This Row],[Female%  (3-5)]]</f>
        <v>0</v>
      </c>
      <c r="DA95" s="1">
        <f>$CU95*Table1[[#This Row],[Male% (3-5)]]</f>
        <v>0</v>
      </c>
      <c r="DB95" s="1">
        <f>Table1[[#This Row],[Female% (6-8)8]]+Table1[[#This Row],[Male%(6-8)9]]</f>
        <v>0</v>
      </c>
      <c r="DC95" s="1">
        <f>$CT95*Table1[[#This Row],[Female% (6-8)]]</f>
        <v>0</v>
      </c>
      <c r="DD95" s="1">
        <f>$CU95*Table1[[#This Row],[Male%(6-8)]]</f>
        <v>0</v>
      </c>
      <c r="DE95" s="1">
        <f>Table1[[#This Row],[Female% (9 - 11)11]]+Table1[[#This Row],[Male% (9 - 11)12]]</f>
        <v>0</v>
      </c>
      <c r="DF95" s="1">
        <f>$CT95*Table1[[#This Row],[Female% (9 - 11)]]</f>
        <v>0</v>
      </c>
      <c r="DG95" s="1">
        <f>$CU95*Table1[[#This Row],[Male% (9 - 11)]]</f>
        <v>0</v>
      </c>
      <c r="DH95" s="1">
        <f>Table1[[#This Row],[Female% (12-14)14]]+Table1[[#This Row],[Male%(12-14)15]]</f>
        <v>0</v>
      </c>
      <c r="DI95" s="1">
        <f>$CT95*Table1[[#This Row],[Female% (12-14)]]</f>
        <v>0</v>
      </c>
      <c r="DJ95" s="1">
        <f>$CU95*Table1[[#This Row],[Male%(12-14)]]</f>
        <v>0</v>
      </c>
      <c r="DK95" s="1">
        <f>Table1[[#This Row],[Female% (15-17)17]]+Table1[[#This Row],[Male%(15-17)18]]</f>
        <v>0</v>
      </c>
      <c r="DL95" s="1">
        <f>$CT95*Table1[[#This Row],[Female% (15-17)]]</f>
        <v>0</v>
      </c>
      <c r="DM95" s="1">
        <f>$CU95*Table1[[#This Row],[Male%(15-17)]]</f>
        <v>0</v>
      </c>
      <c r="DN95" s="1">
        <f>$AF95*Table1[[#This Row],[Total% (18-19)]]</f>
        <v>0</v>
      </c>
      <c r="DO95" s="1">
        <f>$CT95*Table1[[#This Row],[Female% (18-19)]]</f>
        <v>0</v>
      </c>
      <c r="DP95" s="1">
        <f>$CU95*Table1[[#This Row],[Male%(18-19)]]</f>
        <v>0</v>
      </c>
      <c r="DQ95" s="1">
        <f>$AF95*Table1[[#This Row],[Total% (20-24)]]</f>
        <v>0</v>
      </c>
      <c r="DR95" s="1">
        <f>$CT95*Table1[[#This Row],[Female% (20-24)]]</f>
        <v>0</v>
      </c>
      <c r="DS95" s="1">
        <f>$CU95*Table1[[#This Row],[Male% (20-24)]]</f>
        <v>0</v>
      </c>
      <c r="DT95" s="1">
        <f>$AF95*Table1[[#This Row],[Total% (25-29)]]</f>
        <v>0</v>
      </c>
      <c r="DU95" s="1">
        <f>$CT95*Table1[[#This Row],[Female% (25-29)]]</f>
        <v>0</v>
      </c>
      <c r="DV95" s="1">
        <f>$CU95*Table1[[#This Row],[Male% (25-29)]]</f>
        <v>0</v>
      </c>
      <c r="DW95" s="1">
        <f>$AF95*Table1[[#This Row],[Total%   (30-34)]]</f>
        <v>0</v>
      </c>
      <c r="DX95" s="1">
        <f>$CT95*Table1[[#This Row],[Female%   (30-34)]]</f>
        <v>0</v>
      </c>
      <c r="DY95" s="1">
        <f>$CU95*Table1[[#This Row],[Male%  (30-34)]]</f>
        <v>0</v>
      </c>
      <c r="DZ95" s="1">
        <f>$AF95*Table1[[#This Row],[Total% (35-39)]]</f>
        <v>0</v>
      </c>
      <c r="EA95" s="1">
        <f>$CT95*Table1[[#This Row],[Female% (35-39)]]</f>
        <v>0</v>
      </c>
      <c r="EB95" s="1">
        <f>$CU95*Table1[[#This Row],[Male% (35-39)]]</f>
        <v>0</v>
      </c>
      <c r="EC95" s="1">
        <f>$AF95*Table1[[#This Row],[Total% (40-44)]]</f>
        <v>0</v>
      </c>
      <c r="ED95" s="1">
        <f>$CT95*Table1[[#This Row],[Female% (40-44)]]</f>
        <v>0</v>
      </c>
      <c r="EE95" s="1">
        <f>$CU95*Table1[[#This Row],[Male%(55-59)]]</f>
        <v>0</v>
      </c>
      <c r="EF95" s="1">
        <f>$AF95*Table1[[#This Row],[Total% (45-49)]]</f>
        <v>0</v>
      </c>
      <c r="EG95" s="1">
        <f>$CT95*Table1[[#This Row],[Female% (45-49)]]</f>
        <v>0</v>
      </c>
      <c r="EH95" s="1">
        <f>$CU95*Table1[[#This Row],[Male% (45-49)]]</f>
        <v>0</v>
      </c>
      <c r="EI95" s="1">
        <f>$AF95*Table1[[#This Row],[Total% (50-54)]]</f>
        <v>0</v>
      </c>
      <c r="EJ95" s="1">
        <f>$CT95*Table1[[#This Row],[Female%(50-54)]]</f>
        <v>0</v>
      </c>
      <c r="EK95" s="1">
        <f>$CU95*Table1[[#This Row],[Male% (50-54)]]</f>
        <v>0</v>
      </c>
      <c r="EL95" s="1">
        <f>$AF95*Table1[[#This Row],[Total% (55-59)]]</f>
        <v>0</v>
      </c>
      <c r="EM95" s="1">
        <f>$CT95*Table1[[#This Row],[Female% (55-59)]]</f>
        <v>0</v>
      </c>
      <c r="EN95" s="1">
        <f>$CU95*Table1[[#This Row],[Male% (55-59)]]</f>
        <v>0</v>
      </c>
      <c r="EO95" s="1">
        <f>$AF95*Table1[[#This Row],[Total% (60-64)]]</f>
        <v>0</v>
      </c>
      <c r="EP95" s="1">
        <f>$CT95*Table1[[#This Row],[Female%(60-64)]]</f>
        <v>0</v>
      </c>
      <c r="EQ95" s="1">
        <f>$CU95*Table1[[#This Row],[Male%(60-64)]]</f>
        <v>0</v>
      </c>
      <c r="ER95" s="1">
        <f>$AF95*Table1[[#This Row],[Total% (&gt;=65)]]</f>
        <v>0</v>
      </c>
      <c r="ES95" s="1">
        <f>$CT95*Table1[[#This Row],[Female%(&gt;=65)]]</f>
        <v>0</v>
      </c>
      <c r="ET95" s="1">
        <f>$CU95*Table1[[#This Row],[Male% (&gt;=65)]]</f>
        <v>0</v>
      </c>
    </row>
    <row r="96" spans="1:150" hidden="1" x14ac:dyDescent="0.35">
      <c r="A96" t="s">
        <v>17</v>
      </c>
      <c r="B96" t="s">
        <v>18</v>
      </c>
      <c r="C96" t="s">
        <v>62</v>
      </c>
      <c r="D96" t="s">
        <v>63</v>
      </c>
      <c r="E96" t="s">
        <v>86</v>
      </c>
      <c r="F96" t="s">
        <v>87</v>
      </c>
      <c r="H96">
        <v>2</v>
      </c>
      <c r="I96" s="1">
        <v>0</v>
      </c>
      <c r="J96" s="1">
        <v>42035</v>
      </c>
      <c r="K96" s="1">
        <v>3021</v>
      </c>
      <c r="L96" s="1">
        <v>0</v>
      </c>
      <c r="M96" s="1">
        <v>0</v>
      </c>
      <c r="N96" s="1">
        <v>3021</v>
      </c>
      <c r="O96" s="3">
        <v>1</v>
      </c>
      <c r="P96" s="3">
        <v>0</v>
      </c>
      <c r="Q96" s="3">
        <v>0</v>
      </c>
      <c r="R96" s="3">
        <v>0</v>
      </c>
      <c r="S96" s="3">
        <v>0</v>
      </c>
      <c r="T96" s="1">
        <v>45056</v>
      </c>
      <c r="U96" s="1">
        <v>0</v>
      </c>
      <c r="V96" s="10">
        <f>Table1[[#This Row],[Pop NW+RATAA]]*Table1[[#This Row],[Perc_pop_Northern_Aleppo]]</f>
        <v>0</v>
      </c>
      <c r="W96" s="10">
        <f>Table1[[#This Row],[Pop NW+RATAA]]*Table1[[#This Row],[Perc_pop_Afrin District]]</f>
        <v>0</v>
      </c>
      <c r="X96" s="10">
        <f>Table1[[#This Row],[Pop NW+RATAA]]*Table1[[#This Row],[Perc_pop_Euphrates Shiled]]</f>
        <v>0</v>
      </c>
      <c r="Y96" s="10">
        <f>Table1[[#This Row],[Pop NW+RATAA]]*Table1[[#This Row],[Perc_Pop_Idleb_NSAG]]</f>
        <v>0</v>
      </c>
      <c r="Z96" s="3">
        <v>0</v>
      </c>
      <c r="AA96" s="3">
        <v>0</v>
      </c>
      <c r="AB96" s="3">
        <v>0</v>
      </c>
      <c r="AC96" s="3">
        <v>0</v>
      </c>
      <c r="AD96" s="1">
        <v>3021</v>
      </c>
      <c r="AE96" s="1">
        <v>0</v>
      </c>
      <c r="AF96" s="1">
        <v>0</v>
      </c>
      <c r="AG96" s="1">
        <v>0</v>
      </c>
      <c r="AH96" s="1">
        <v>0</v>
      </c>
      <c r="AI96" s="1">
        <f>Table1[[#This Row],[NWS_pin]]*Table1[[#This Row],[Perc_pop_Northern_Aleppo]]</f>
        <v>0</v>
      </c>
      <c r="AJ96" s="1">
        <f>Table1[[#This Row],[NWS_pin]]*Table1[[#This Row],[Perc_pop_Afrin District]]</f>
        <v>0</v>
      </c>
      <c r="AK96" s="1">
        <f>Table1[[#This Row],[NWS_pin]]*Table1[[#This Row],[Perc_pop_Euphrates Shiled]]</f>
        <v>0</v>
      </c>
      <c r="AL96" s="1">
        <f>Table1[[#This Row],[NWS_pin]]*Table1[[#This Row],[Perc_Pop_Idleb_NSAG]]</f>
        <v>0</v>
      </c>
      <c r="AM96" s="4">
        <v>0.54935161268843902</v>
      </c>
      <c r="AN96" s="4">
        <v>0.45064838731156098</v>
      </c>
      <c r="AO96" s="4">
        <v>5.6118568232662203E-2</v>
      </c>
      <c r="AP96" s="4">
        <v>0.39787672922603401</v>
      </c>
      <c r="AQ96" s="4">
        <v>0.56584218530487596</v>
      </c>
      <c r="AR96" s="4">
        <v>0</v>
      </c>
      <c r="AS96" s="4">
        <v>0</v>
      </c>
      <c r="AT96" s="4">
        <v>3.6281085469089799E-2</v>
      </c>
      <c r="AU96" s="4">
        <v>2.7639061400530499E-3</v>
      </c>
      <c r="AV96" s="4">
        <v>0</v>
      </c>
      <c r="AW96" s="4">
        <v>6.13317659149236E-3</v>
      </c>
      <c r="AX96" s="4">
        <v>1.59261692837863E-2</v>
      </c>
      <c r="AY96" s="4">
        <v>5.0312151201794596E-3</v>
      </c>
      <c r="AZ96" s="4">
        <v>2.9207389872746601E-2</v>
      </c>
      <c r="BA96" s="4">
        <v>2.7423936567295699E-2</v>
      </c>
      <c r="BB96" s="4">
        <v>1.2340550373447201E-2</v>
      </c>
      <c r="BC96" s="4">
        <v>4.5810960161955801E-2</v>
      </c>
      <c r="BD96" s="4">
        <v>3.7472059585508997E-2</v>
      </c>
      <c r="BE96" s="4">
        <v>4.9577463741609699E-2</v>
      </c>
      <c r="BF96" s="4">
        <v>2.27152702955883E-2</v>
      </c>
      <c r="BG96" s="4">
        <v>4.9719592782884701E-2</v>
      </c>
      <c r="BH96" s="4">
        <v>5.00889308214989E-2</v>
      </c>
      <c r="BI96" s="4">
        <v>4.9269360511223201E-2</v>
      </c>
      <c r="BJ96" s="4">
        <v>6.27167624654551E-2</v>
      </c>
      <c r="BK96" s="4">
        <v>4.1316555740160403E-2</v>
      </c>
      <c r="BL96" s="4">
        <v>8.8804147680658002E-2</v>
      </c>
      <c r="BM96" s="4">
        <v>5.4205072827356399E-2</v>
      </c>
      <c r="BN96" s="4">
        <v>5.5260486560743102E-2</v>
      </c>
      <c r="BO96" s="4">
        <v>5.2918497189200102E-2</v>
      </c>
      <c r="BP96" s="4">
        <v>0.108622653152588</v>
      </c>
      <c r="BQ96" s="4">
        <v>0.145909348441778</v>
      </c>
      <c r="BR96" s="4">
        <v>6.3169242543181306E-2</v>
      </c>
      <c r="BS96" s="4">
        <v>5.8017840160479998E-2</v>
      </c>
      <c r="BT96" s="4">
        <v>7.2891938482484098E-2</v>
      </c>
      <c r="BU96" s="4">
        <v>3.98859436963079E-2</v>
      </c>
      <c r="BV96" s="4">
        <v>3.8868077237854098E-2</v>
      </c>
      <c r="BW96" s="4">
        <v>6.46890149002156E-2</v>
      </c>
      <c r="BX96" s="4">
        <v>7.3917108614685702E-3</v>
      </c>
      <c r="BY96" s="4">
        <v>3.1415545562703401E-2</v>
      </c>
      <c r="BZ96" s="4">
        <v>2.4670996012897101E-2</v>
      </c>
      <c r="CA96" s="4">
        <v>3.9637319514113499E-2</v>
      </c>
      <c r="CB96" s="4">
        <v>4.2841623743085797E-2</v>
      </c>
      <c r="CC96" s="4">
        <v>5.6021561512816898E-2</v>
      </c>
      <c r="CD96" s="4">
        <v>2.67749512045923E-2</v>
      </c>
      <c r="CE96" s="4">
        <v>8.1705429834775703E-2</v>
      </c>
      <c r="CF96" s="4">
        <v>9.5309919128881898E-2</v>
      </c>
      <c r="CG96" s="4">
        <v>6.5121218409754295E-2</v>
      </c>
      <c r="CH96" s="4">
        <v>0.107988783423696</v>
      </c>
      <c r="CI96" s="4">
        <v>9.6236046795598995E-2</v>
      </c>
      <c r="CJ96" s="4">
        <v>0.12231566220975899</v>
      </c>
      <c r="CK96" s="4">
        <v>0.119392959396644</v>
      </c>
      <c r="CL96" s="4">
        <v>0.100486396344788</v>
      </c>
      <c r="CM96" s="4">
        <v>0.14244053084118999</v>
      </c>
      <c r="CN96" s="4">
        <v>7.0735372007483296E-2</v>
      </c>
      <c r="CO96" s="4">
        <v>4.4392714256421002E-2</v>
      </c>
      <c r="CP96" s="4">
        <v>0.102847728171405</v>
      </c>
      <c r="CQ96" s="4">
        <v>9.0184215828349901E-2</v>
      </c>
      <c r="CR96" s="4">
        <v>8.5776861766479695E-2</v>
      </c>
      <c r="CS96" s="4">
        <v>9.5556890245363693E-2</v>
      </c>
      <c r="CT96" s="1">
        <f>Table1[[#This Row],[Female %]]*Table1[[#This Row],[NWS_pin]]</f>
        <v>0</v>
      </c>
      <c r="CU96" s="1">
        <f>Table1[[#This Row],[Male %]]*Table1[[#This Row],[NWS_pin]]</f>
        <v>0</v>
      </c>
      <c r="CV96" s="1">
        <f>Table1[[#This Row],[Female% (0-2)22]]+Table1[[#This Row],[Male%(0-2)3]]</f>
        <v>0</v>
      </c>
      <c r="CW96" s="1">
        <f>$CT96*Table1[[#This Row],[Female% (0-2)]]</f>
        <v>0</v>
      </c>
      <c r="CX96" s="1">
        <f>$CU96*Table1[[#This Row],[Male%(0-2)]]</f>
        <v>0</v>
      </c>
      <c r="CY96" s="1">
        <f>Table1[[#This Row],[Female%  (3-5)5]]+Table1[[#This Row],[Male% (3-5)6]]</f>
        <v>0</v>
      </c>
      <c r="CZ96" s="1">
        <f>$AF96*Table1[[#This Row],[Female%  (3-5)]]</f>
        <v>0</v>
      </c>
      <c r="DA96" s="1">
        <f>$CU96*Table1[[#This Row],[Male% (3-5)]]</f>
        <v>0</v>
      </c>
      <c r="DB96" s="1">
        <f>Table1[[#This Row],[Female% (6-8)8]]+Table1[[#This Row],[Male%(6-8)9]]</f>
        <v>0</v>
      </c>
      <c r="DC96" s="1">
        <f>$CT96*Table1[[#This Row],[Female% (6-8)]]</f>
        <v>0</v>
      </c>
      <c r="DD96" s="1">
        <f>$CU96*Table1[[#This Row],[Male%(6-8)]]</f>
        <v>0</v>
      </c>
      <c r="DE96" s="1">
        <f>Table1[[#This Row],[Female% (9 - 11)11]]+Table1[[#This Row],[Male% (9 - 11)12]]</f>
        <v>0</v>
      </c>
      <c r="DF96" s="1">
        <f>$CT96*Table1[[#This Row],[Female% (9 - 11)]]</f>
        <v>0</v>
      </c>
      <c r="DG96" s="1">
        <f>$CU96*Table1[[#This Row],[Male% (9 - 11)]]</f>
        <v>0</v>
      </c>
      <c r="DH96" s="1">
        <f>Table1[[#This Row],[Female% (12-14)14]]+Table1[[#This Row],[Male%(12-14)15]]</f>
        <v>0</v>
      </c>
      <c r="DI96" s="1">
        <f>$CT96*Table1[[#This Row],[Female% (12-14)]]</f>
        <v>0</v>
      </c>
      <c r="DJ96" s="1">
        <f>$CU96*Table1[[#This Row],[Male%(12-14)]]</f>
        <v>0</v>
      </c>
      <c r="DK96" s="1">
        <f>Table1[[#This Row],[Female% (15-17)17]]+Table1[[#This Row],[Male%(15-17)18]]</f>
        <v>0</v>
      </c>
      <c r="DL96" s="1">
        <f>$CT96*Table1[[#This Row],[Female% (15-17)]]</f>
        <v>0</v>
      </c>
      <c r="DM96" s="1">
        <f>$CU96*Table1[[#This Row],[Male%(15-17)]]</f>
        <v>0</v>
      </c>
      <c r="DN96" s="1">
        <f>$AF96*Table1[[#This Row],[Total% (18-19)]]</f>
        <v>0</v>
      </c>
      <c r="DO96" s="1">
        <f>$CT96*Table1[[#This Row],[Female% (18-19)]]</f>
        <v>0</v>
      </c>
      <c r="DP96" s="1">
        <f>$CU96*Table1[[#This Row],[Male%(18-19)]]</f>
        <v>0</v>
      </c>
      <c r="DQ96" s="1">
        <f>$AF96*Table1[[#This Row],[Total% (20-24)]]</f>
        <v>0</v>
      </c>
      <c r="DR96" s="1">
        <f>$CT96*Table1[[#This Row],[Female% (20-24)]]</f>
        <v>0</v>
      </c>
      <c r="DS96" s="1">
        <f>$CU96*Table1[[#This Row],[Male% (20-24)]]</f>
        <v>0</v>
      </c>
      <c r="DT96" s="1">
        <f>$AF96*Table1[[#This Row],[Total% (25-29)]]</f>
        <v>0</v>
      </c>
      <c r="DU96" s="1">
        <f>$CT96*Table1[[#This Row],[Female% (25-29)]]</f>
        <v>0</v>
      </c>
      <c r="DV96" s="1">
        <f>$CU96*Table1[[#This Row],[Male% (25-29)]]</f>
        <v>0</v>
      </c>
      <c r="DW96" s="1">
        <f>$AF96*Table1[[#This Row],[Total%   (30-34)]]</f>
        <v>0</v>
      </c>
      <c r="DX96" s="1">
        <f>$CT96*Table1[[#This Row],[Female%   (30-34)]]</f>
        <v>0</v>
      </c>
      <c r="DY96" s="1">
        <f>$CU96*Table1[[#This Row],[Male%  (30-34)]]</f>
        <v>0</v>
      </c>
      <c r="DZ96" s="1">
        <f>$AF96*Table1[[#This Row],[Total% (35-39)]]</f>
        <v>0</v>
      </c>
      <c r="EA96" s="1">
        <f>$CT96*Table1[[#This Row],[Female% (35-39)]]</f>
        <v>0</v>
      </c>
      <c r="EB96" s="1">
        <f>$CU96*Table1[[#This Row],[Male% (35-39)]]</f>
        <v>0</v>
      </c>
      <c r="EC96" s="1">
        <f>$AF96*Table1[[#This Row],[Total% (40-44)]]</f>
        <v>0</v>
      </c>
      <c r="ED96" s="1">
        <f>$CT96*Table1[[#This Row],[Female% (40-44)]]</f>
        <v>0</v>
      </c>
      <c r="EE96" s="1">
        <f>$CU96*Table1[[#This Row],[Male%(55-59)]]</f>
        <v>0</v>
      </c>
      <c r="EF96" s="1">
        <f>$AF96*Table1[[#This Row],[Total% (45-49)]]</f>
        <v>0</v>
      </c>
      <c r="EG96" s="1">
        <f>$CT96*Table1[[#This Row],[Female% (45-49)]]</f>
        <v>0</v>
      </c>
      <c r="EH96" s="1">
        <f>$CU96*Table1[[#This Row],[Male% (45-49)]]</f>
        <v>0</v>
      </c>
      <c r="EI96" s="1">
        <f>$AF96*Table1[[#This Row],[Total% (50-54)]]</f>
        <v>0</v>
      </c>
      <c r="EJ96" s="1">
        <f>$CT96*Table1[[#This Row],[Female%(50-54)]]</f>
        <v>0</v>
      </c>
      <c r="EK96" s="1">
        <f>$CU96*Table1[[#This Row],[Male% (50-54)]]</f>
        <v>0</v>
      </c>
      <c r="EL96" s="1">
        <f>$AF96*Table1[[#This Row],[Total% (55-59)]]</f>
        <v>0</v>
      </c>
      <c r="EM96" s="1">
        <f>$CT96*Table1[[#This Row],[Female% (55-59)]]</f>
        <v>0</v>
      </c>
      <c r="EN96" s="1">
        <f>$CU96*Table1[[#This Row],[Male% (55-59)]]</f>
        <v>0</v>
      </c>
      <c r="EO96" s="1">
        <f>$AF96*Table1[[#This Row],[Total% (60-64)]]</f>
        <v>0</v>
      </c>
      <c r="EP96" s="1">
        <f>$CT96*Table1[[#This Row],[Female%(60-64)]]</f>
        <v>0</v>
      </c>
      <c r="EQ96" s="1">
        <f>$CU96*Table1[[#This Row],[Male%(60-64)]]</f>
        <v>0</v>
      </c>
      <c r="ER96" s="1">
        <f>$AF96*Table1[[#This Row],[Total% (&gt;=65)]]</f>
        <v>0</v>
      </c>
      <c r="ES96" s="1">
        <f>$CT96*Table1[[#This Row],[Female%(&gt;=65)]]</f>
        <v>0</v>
      </c>
      <c r="ET96" s="1">
        <f>$CU96*Table1[[#This Row],[Male% (&gt;=65)]]</f>
        <v>0</v>
      </c>
    </row>
    <row r="97" spans="1:150" hidden="1" x14ac:dyDescent="0.35">
      <c r="A97" t="s">
        <v>17</v>
      </c>
      <c r="B97" t="s">
        <v>18</v>
      </c>
      <c r="C97" t="s">
        <v>101</v>
      </c>
      <c r="D97" t="s">
        <v>102</v>
      </c>
      <c r="E97" t="s">
        <v>101</v>
      </c>
      <c r="F97" t="s">
        <v>103</v>
      </c>
      <c r="H97">
        <v>3</v>
      </c>
      <c r="I97" s="1">
        <v>629</v>
      </c>
      <c r="J97" s="1">
        <v>46592</v>
      </c>
      <c r="K97" s="1">
        <v>15741</v>
      </c>
      <c r="L97" s="1">
        <v>0</v>
      </c>
      <c r="M97" s="1">
        <v>0</v>
      </c>
      <c r="N97" s="1">
        <v>15741</v>
      </c>
      <c r="O97" s="3">
        <v>1</v>
      </c>
      <c r="P97" s="3">
        <v>0</v>
      </c>
      <c r="Q97" s="3">
        <v>0</v>
      </c>
      <c r="R97" s="3">
        <v>0</v>
      </c>
      <c r="S97" s="3">
        <v>0</v>
      </c>
      <c r="T97" s="1">
        <v>62962</v>
      </c>
      <c r="U97" s="1">
        <v>0</v>
      </c>
      <c r="V97" s="10">
        <f>Table1[[#This Row],[Pop NW+RATAA]]*Table1[[#This Row],[Perc_pop_Northern_Aleppo]]</f>
        <v>0</v>
      </c>
      <c r="W97" s="10">
        <f>Table1[[#This Row],[Pop NW+RATAA]]*Table1[[#This Row],[Perc_pop_Afrin District]]</f>
        <v>0</v>
      </c>
      <c r="X97" s="10">
        <f>Table1[[#This Row],[Pop NW+RATAA]]*Table1[[#This Row],[Perc_pop_Euphrates Shiled]]</f>
        <v>0</v>
      </c>
      <c r="Y97" s="10">
        <f>Table1[[#This Row],[Pop NW+RATAA]]*Table1[[#This Row],[Perc_Pop_Idleb_NSAG]]</f>
        <v>0</v>
      </c>
      <c r="Z97" s="3">
        <v>0</v>
      </c>
      <c r="AA97" s="3">
        <v>0</v>
      </c>
      <c r="AB97" s="3">
        <v>0</v>
      </c>
      <c r="AC97" s="3">
        <v>0</v>
      </c>
      <c r="AD97" s="1">
        <v>15741</v>
      </c>
      <c r="AE97" s="1">
        <v>0</v>
      </c>
      <c r="AF97" s="1">
        <v>0</v>
      </c>
      <c r="AG97" s="1">
        <v>0</v>
      </c>
      <c r="AH97" s="1">
        <v>0</v>
      </c>
      <c r="AI97" s="1">
        <f>Table1[[#This Row],[NWS_pin]]*Table1[[#This Row],[Perc_pop_Northern_Aleppo]]</f>
        <v>0</v>
      </c>
      <c r="AJ97" s="1">
        <f>Table1[[#This Row],[NWS_pin]]*Table1[[#This Row],[Perc_pop_Afrin District]]</f>
        <v>0</v>
      </c>
      <c r="AK97" s="1">
        <f>Table1[[#This Row],[NWS_pin]]*Table1[[#This Row],[Perc_pop_Euphrates Shiled]]</f>
        <v>0</v>
      </c>
      <c r="AL97" s="1">
        <f>Table1[[#This Row],[NWS_pin]]*Table1[[#This Row],[Perc_Pop_Idleb_NSAG]]</f>
        <v>0</v>
      </c>
      <c r="AM97" s="4">
        <v>0.51228747341716596</v>
      </c>
      <c r="AN97" s="4">
        <v>0.48771252658283398</v>
      </c>
      <c r="AO97" s="4">
        <v>0.19058416456241001</v>
      </c>
      <c r="AP97" s="4">
        <v>0.46143908840124198</v>
      </c>
      <c r="AQ97" s="4">
        <v>0.51429544943379102</v>
      </c>
      <c r="AR97" s="4">
        <v>1.75608431166844E-3</v>
      </c>
      <c r="AS97" s="4">
        <v>0</v>
      </c>
      <c r="AT97" s="4">
        <v>2.2509377853299001E-2</v>
      </c>
      <c r="AU97" s="4">
        <v>4.1179486873428497E-2</v>
      </c>
      <c r="AV97" s="4">
        <v>4.4018109588828E-2</v>
      </c>
      <c r="AW97" s="4">
        <v>3.8197831124199798E-2</v>
      </c>
      <c r="AX97" s="4">
        <v>4.6864537302931601E-2</v>
      </c>
      <c r="AY97" s="4">
        <v>5.6833418238500501E-2</v>
      </c>
      <c r="AZ97" s="4">
        <v>3.6393342595137303E-2</v>
      </c>
      <c r="BA97" s="4">
        <v>9.04182796504268E-2</v>
      </c>
      <c r="BB97" s="4">
        <v>9.1297672181645903E-2</v>
      </c>
      <c r="BC97" s="4">
        <v>8.9494576129591302E-2</v>
      </c>
      <c r="BD97" s="4">
        <v>0.10542716103534</v>
      </c>
      <c r="BE97" s="4">
        <v>6.1333226733794502E-2</v>
      </c>
      <c r="BF97" s="4">
        <v>0.15174290845858199</v>
      </c>
      <c r="BG97" s="4">
        <v>9.6567386048788506E-2</v>
      </c>
      <c r="BH97" s="4">
        <v>0.102114239478275</v>
      </c>
      <c r="BI97" s="4">
        <v>9.0741036767344699E-2</v>
      </c>
      <c r="BJ97" s="4">
        <v>8.3403497279772601E-2</v>
      </c>
      <c r="BK97" s="4">
        <v>6.6412782240602194E-2</v>
      </c>
      <c r="BL97" s="4">
        <v>0.101250343535605</v>
      </c>
      <c r="BM97" s="4">
        <v>2.9519275202388898E-2</v>
      </c>
      <c r="BN97" s="4">
        <v>2.5931980767403402E-2</v>
      </c>
      <c r="BO97" s="4">
        <v>3.3287326876965097E-2</v>
      </c>
      <c r="BP97" s="4">
        <v>5.0049345399564599E-2</v>
      </c>
      <c r="BQ97" s="4">
        <v>8.2295142693649806E-2</v>
      </c>
      <c r="BR97" s="4">
        <v>1.61787410502146E-2</v>
      </c>
      <c r="BS97" s="4">
        <v>5.8055872581311403E-2</v>
      </c>
      <c r="BT97" s="4">
        <v>8.4864413483992401E-2</v>
      </c>
      <c r="BU97" s="4">
        <v>2.9896498079982702E-2</v>
      </c>
      <c r="BV97" s="4">
        <v>6.0831944810803902E-2</v>
      </c>
      <c r="BW97" s="4">
        <v>7.1266411162763998E-2</v>
      </c>
      <c r="BX97" s="4">
        <v>4.9871704684606999E-2</v>
      </c>
      <c r="BY97" s="4">
        <v>7.6537180682994393E-2</v>
      </c>
      <c r="BZ97" s="4">
        <v>9.3883585814319701E-2</v>
      </c>
      <c r="CA97" s="4">
        <v>5.8316721758431597E-2</v>
      </c>
      <c r="CB97" s="4">
        <v>9.0475501688066506E-2</v>
      </c>
      <c r="CC97" s="4">
        <v>9.5713754377827698E-2</v>
      </c>
      <c r="CD97" s="4">
        <v>8.4973302976131995E-2</v>
      </c>
      <c r="CE97" s="4">
        <v>7.6637196278868905E-2</v>
      </c>
      <c r="CF97" s="4">
        <v>7.3073279747008293E-2</v>
      </c>
      <c r="CG97" s="4">
        <v>8.0380692080317104E-2</v>
      </c>
      <c r="CH97" s="4">
        <v>4.8918267386219301E-2</v>
      </c>
      <c r="CI97" s="4">
        <v>1.23545899662928E-2</v>
      </c>
      <c r="CJ97" s="4">
        <v>8.7324321984681902E-2</v>
      </c>
      <c r="CK97" s="4">
        <v>2.46690106824526E-2</v>
      </c>
      <c r="CL97" s="4">
        <v>7.00679664875886E-3</v>
      </c>
      <c r="CM97" s="4">
        <v>4.3221191545368097E-2</v>
      </c>
      <c r="CN97" s="4">
        <v>0</v>
      </c>
      <c r="CO97" s="4">
        <v>0</v>
      </c>
      <c r="CP97" s="4">
        <v>0</v>
      </c>
      <c r="CQ97" s="4">
        <v>2.0446057096641001E-2</v>
      </c>
      <c r="CR97" s="4">
        <v>3.1600596876336901E-2</v>
      </c>
      <c r="CS97" s="4">
        <v>8.7294603528394292E-3</v>
      </c>
      <c r="CT97" s="1">
        <f>Table1[[#This Row],[Female %]]*Table1[[#This Row],[NWS_pin]]</f>
        <v>0</v>
      </c>
      <c r="CU97" s="1">
        <f>Table1[[#This Row],[Male %]]*Table1[[#This Row],[NWS_pin]]</f>
        <v>0</v>
      </c>
      <c r="CV97" s="1">
        <f>Table1[[#This Row],[Female% (0-2)22]]+Table1[[#This Row],[Male%(0-2)3]]</f>
        <v>0</v>
      </c>
      <c r="CW97" s="1">
        <f>$CT97*Table1[[#This Row],[Female% (0-2)]]</f>
        <v>0</v>
      </c>
      <c r="CX97" s="1">
        <f>$CU97*Table1[[#This Row],[Male%(0-2)]]</f>
        <v>0</v>
      </c>
      <c r="CY97" s="1">
        <f>Table1[[#This Row],[Female%  (3-5)5]]+Table1[[#This Row],[Male% (3-5)6]]</f>
        <v>0</v>
      </c>
      <c r="CZ97" s="1">
        <f>$AF97*Table1[[#This Row],[Female%  (3-5)]]</f>
        <v>0</v>
      </c>
      <c r="DA97" s="1">
        <f>$CU97*Table1[[#This Row],[Male% (3-5)]]</f>
        <v>0</v>
      </c>
      <c r="DB97" s="1">
        <f>Table1[[#This Row],[Female% (6-8)8]]+Table1[[#This Row],[Male%(6-8)9]]</f>
        <v>0</v>
      </c>
      <c r="DC97" s="1">
        <f>$CT97*Table1[[#This Row],[Female% (6-8)]]</f>
        <v>0</v>
      </c>
      <c r="DD97" s="1">
        <f>$CU97*Table1[[#This Row],[Male%(6-8)]]</f>
        <v>0</v>
      </c>
      <c r="DE97" s="1">
        <f>Table1[[#This Row],[Female% (9 - 11)11]]+Table1[[#This Row],[Male% (9 - 11)12]]</f>
        <v>0</v>
      </c>
      <c r="DF97" s="1">
        <f>$CT97*Table1[[#This Row],[Female% (9 - 11)]]</f>
        <v>0</v>
      </c>
      <c r="DG97" s="1">
        <f>$CU97*Table1[[#This Row],[Male% (9 - 11)]]</f>
        <v>0</v>
      </c>
      <c r="DH97" s="1">
        <f>Table1[[#This Row],[Female% (12-14)14]]+Table1[[#This Row],[Male%(12-14)15]]</f>
        <v>0</v>
      </c>
      <c r="DI97" s="1">
        <f>$CT97*Table1[[#This Row],[Female% (12-14)]]</f>
        <v>0</v>
      </c>
      <c r="DJ97" s="1">
        <f>$CU97*Table1[[#This Row],[Male%(12-14)]]</f>
        <v>0</v>
      </c>
      <c r="DK97" s="1">
        <f>Table1[[#This Row],[Female% (15-17)17]]+Table1[[#This Row],[Male%(15-17)18]]</f>
        <v>0</v>
      </c>
      <c r="DL97" s="1">
        <f>$CT97*Table1[[#This Row],[Female% (15-17)]]</f>
        <v>0</v>
      </c>
      <c r="DM97" s="1">
        <f>$CU97*Table1[[#This Row],[Male%(15-17)]]</f>
        <v>0</v>
      </c>
      <c r="DN97" s="1">
        <f>$AF97*Table1[[#This Row],[Total% (18-19)]]</f>
        <v>0</v>
      </c>
      <c r="DO97" s="1">
        <f>$CT97*Table1[[#This Row],[Female% (18-19)]]</f>
        <v>0</v>
      </c>
      <c r="DP97" s="1">
        <f>$CU97*Table1[[#This Row],[Male%(18-19)]]</f>
        <v>0</v>
      </c>
      <c r="DQ97" s="1">
        <f>$AF97*Table1[[#This Row],[Total% (20-24)]]</f>
        <v>0</v>
      </c>
      <c r="DR97" s="1">
        <f>$CT97*Table1[[#This Row],[Female% (20-24)]]</f>
        <v>0</v>
      </c>
      <c r="DS97" s="1">
        <f>$CU97*Table1[[#This Row],[Male% (20-24)]]</f>
        <v>0</v>
      </c>
      <c r="DT97" s="1">
        <f>$AF97*Table1[[#This Row],[Total% (25-29)]]</f>
        <v>0</v>
      </c>
      <c r="DU97" s="1">
        <f>$CT97*Table1[[#This Row],[Female% (25-29)]]</f>
        <v>0</v>
      </c>
      <c r="DV97" s="1">
        <f>$CU97*Table1[[#This Row],[Male% (25-29)]]</f>
        <v>0</v>
      </c>
      <c r="DW97" s="1">
        <f>$AF97*Table1[[#This Row],[Total%   (30-34)]]</f>
        <v>0</v>
      </c>
      <c r="DX97" s="1">
        <f>$CT97*Table1[[#This Row],[Female%   (30-34)]]</f>
        <v>0</v>
      </c>
      <c r="DY97" s="1">
        <f>$CU97*Table1[[#This Row],[Male%  (30-34)]]</f>
        <v>0</v>
      </c>
      <c r="DZ97" s="1">
        <f>$AF97*Table1[[#This Row],[Total% (35-39)]]</f>
        <v>0</v>
      </c>
      <c r="EA97" s="1">
        <f>$CT97*Table1[[#This Row],[Female% (35-39)]]</f>
        <v>0</v>
      </c>
      <c r="EB97" s="1">
        <f>$CU97*Table1[[#This Row],[Male% (35-39)]]</f>
        <v>0</v>
      </c>
      <c r="EC97" s="1">
        <f>$AF97*Table1[[#This Row],[Total% (40-44)]]</f>
        <v>0</v>
      </c>
      <c r="ED97" s="1">
        <f>$CT97*Table1[[#This Row],[Female% (40-44)]]</f>
        <v>0</v>
      </c>
      <c r="EE97" s="1">
        <f>$CU97*Table1[[#This Row],[Male%(55-59)]]</f>
        <v>0</v>
      </c>
      <c r="EF97" s="1">
        <f>$AF97*Table1[[#This Row],[Total% (45-49)]]</f>
        <v>0</v>
      </c>
      <c r="EG97" s="1">
        <f>$CT97*Table1[[#This Row],[Female% (45-49)]]</f>
        <v>0</v>
      </c>
      <c r="EH97" s="1">
        <f>$CU97*Table1[[#This Row],[Male% (45-49)]]</f>
        <v>0</v>
      </c>
      <c r="EI97" s="1">
        <f>$AF97*Table1[[#This Row],[Total% (50-54)]]</f>
        <v>0</v>
      </c>
      <c r="EJ97" s="1">
        <f>$CT97*Table1[[#This Row],[Female%(50-54)]]</f>
        <v>0</v>
      </c>
      <c r="EK97" s="1">
        <f>$CU97*Table1[[#This Row],[Male% (50-54)]]</f>
        <v>0</v>
      </c>
      <c r="EL97" s="1">
        <f>$AF97*Table1[[#This Row],[Total% (55-59)]]</f>
        <v>0</v>
      </c>
      <c r="EM97" s="1">
        <f>$CT97*Table1[[#This Row],[Female% (55-59)]]</f>
        <v>0</v>
      </c>
      <c r="EN97" s="1">
        <f>$CU97*Table1[[#This Row],[Male% (55-59)]]</f>
        <v>0</v>
      </c>
      <c r="EO97" s="1">
        <f>$AF97*Table1[[#This Row],[Total% (60-64)]]</f>
        <v>0</v>
      </c>
      <c r="EP97" s="1">
        <f>$CT97*Table1[[#This Row],[Female%(60-64)]]</f>
        <v>0</v>
      </c>
      <c r="EQ97" s="1">
        <f>$CU97*Table1[[#This Row],[Male%(60-64)]]</f>
        <v>0</v>
      </c>
      <c r="ER97" s="1">
        <f>$AF97*Table1[[#This Row],[Total% (&gt;=65)]]</f>
        <v>0</v>
      </c>
      <c r="ES97" s="1">
        <f>$CT97*Table1[[#This Row],[Female%(&gt;=65)]]</f>
        <v>0</v>
      </c>
      <c r="ET97" s="1">
        <f>$CU97*Table1[[#This Row],[Male% (&gt;=65)]]</f>
        <v>0</v>
      </c>
    </row>
    <row r="98" spans="1:150" hidden="1" x14ac:dyDescent="0.35">
      <c r="A98" t="s">
        <v>17</v>
      </c>
      <c r="B98" t="s">
        <v>18</v>
      </c>
      <c r="C98" t="s">
        <v>101</v>
      </c>
      <c r="D98" t="s">
        <v>102</v>
      </c>
      <c r="E98" t="s">
        <v>139</v>
      </c>
      <c r="F98" t="s">
        <v>140</v>
      </c>
      <c r="H98">
        <v>3</v>
      </c>
      <c r="I98" s="1">
        <v>0</v>
      </c>
      <c r="J98" s="1">
        <v>66770</v>
      </c>
      <c r="K98" s="1">
        <v>27942</v>
      </c>
      <c r="L98" s="1">
        <v>0</v>
      </c>
      <c r="M98" s="1">
        <v>0</v>
      </c>
      <c r="N98" s="1">
        <v>27942</v>
      </c>
      <c r="O98" s="3">
        <v>1</v>
      </c>
      <c r="P98" s="3">
        <v>0</v>
      </c>
      <c r="Q98" s="3">
        <v>0</v>
      </c>
      <c r="R98" s="3">
        <v>0</v>
      </c>
      <c r="S98" s="3">
        <v>0</v>
      </c>
      <c r="T98" s="1">
        <v>94712</v>
      </c>
      <c r="U98" s="1">
        <v>0</v>
      </c>
      <c r="V98" s="10">
        <f>Table1[[#This Row],[Pop NW+RATAA]]*Table1[[#This Row],[Perc_pop_Northern_Aleppo]]</f>
        <v>0</v>
      </c>
      <c r="W98" s="10">
        <f>Table1[[#This Row],[Pop NW+RATAA]]*Table1[[#This Row],[Perc_pop_Afrin District]]</f>
        <v>0</v>
      </c>
      <c r="X98" s="10">
        <f>Table1[[#This Row],[Pop NW+RATAA]]*Table1[[#This Row],[Perc_pop_Euphrates Shiled]]</f>
        <v>0</v>
      </c>
      <c r="Y98" s="10">
        <f>Table1[[#This Row],[Pop NW+RATAA]]*Table1[[#This Row],[Perc_Pop_Idleb_NSAG]]</f>
        <v>0</v>
      </c>
      <c r="Z98" s="3">
        <v>0</v>
      </c>
      <c r="AA98" s="3">
        <v>0</v>
      </c>
      <c r="AB98" s="3">
        <v>0</v>
      </c>
      <c r="AC98" s="3">
        <v>0</v>
      </c>
      <c r="AD98" s="1">
        <v>27942</v>
      </c>
      <c r="AE98" s="1">
        <v>0</v>
      </c>
      <c r="AF98" s="1">
        <v>0</v>
      </c>
      <c r="AG98" s="1">
        <v>0</v>
      </c>
      <c r="AH98" s="1">
        <v>0</v>
      </c>
      <c r="AI98" s="1">
        <f>Table1[[#This Row],[NWS_pin]]*Table1[[#This Row],[Perc_pop_Northern_Aleppo]]</f>
        <v>0</v>
      </c>
      <c r="AJ98" s="1">
        <f>Table1[[#This Row],[NWS_pin]]*Table1[[#This Row],[Perc_pop_Afrin District]]</f>
        <v>0</v>
      </c>
      <c r="AK98" s="1">
        <f>Table1[[#This Row],[NWS_pin]]*Table1[[#This Row],[Perc_pop_Euphrates Shiled]]</f>
        <v>0</v>
      </c>
      <c r="AL98" s="1">
        <f>Table1[[#This Row],[NWS_pin]]*Table1[[#This Row],[Perc_Pop_Idleb_NSAG]]</f>
        <v>0</v>
      </c>
      <c r="AM98" s="4">
        <v>0.47339582523680901</v>
      </c>
      <c r="AN98" s="4">
        <v>0.52660417476319099</v>
      </c>
      <c r="AO98" s="4">
        <v>0.26512656110757898</v>
      </c>
      <c r="AP98" s="4">
        <v>0.38050724039764</v>
      </c>
      <c r="AQ98" s="4">
        <v>0.51285318293233295</v>
      </c>
      <c r="AR98" s="4">
        <v>1.11394594410558E-2</v>
      </c>
      <c r="AS98" s="4">
        <v>0</v>
      </c>
      <c r="AT98" s="4">
        <v>9.5500117228971504E-2</v>
      </c>
      <c r="AU98" s="4">
        <v>3.52539508620201E-2</v>
      </c>
      <c r="AV98" s="4">
        <v>1.6298602278806602E-2</v>
      </c>
      <c r="AW98" s="4">
        <v>5.2294041532089303E-2</v>
      </c>
      <c r="AX98" s="4">
        <v>8.2469682698339E-2</v>
      </c>
      <c r="AY98" s="4">
        <v>7.7024651010708406E-2</v>
      </c>
      <c r="AZ98" s="4">
        <v>8.7364545657535306E-2</v>
      </c>
      <c r="BA98" s="4">
        <v>7.8268202293509004E-2</v>
      </c>
      <c r="BB98" s="4">
        <v>2.9577242353180801E-2</v>
      </c>
      <c r="BC98" s="4">
        <v>0.12203940325842599</v>
      </c>
      <c r="BD98" s="4">
        <v>8.8016795884303306E-2</v>
      </c>
      <c r="BE98" s="4">
        <v>8.1163506123399703E-2</v>
      </c>
      <c r="BF98" s="4">
        <v>9.4177625815833693E-2</v>
      </c>
      <c r="BG98" s="4">
        <v>5.3283384584054898E-2</v>
      </c>
      <c r="BH98" s="4">
        <v>3.6924600810642201E-2</v>
      </c>
      <c r="BI98" s="4">
        <v>6.7989268652990903E-2</v>
      </c>
      <c r="BJ98" s="4">
        <v>9.26968780948179E-2</v>
      </c>
      <c r="BK98" s="4">
        <v>4.80815245857504E-2</v>
      </c>
      <c r="BL98" s="4">
        <v>0.13280427394323599</v>
      </c>
      <c r="BM98" s="4">
        <v>3.4241399205119399E-2</v>
      </c>
      <c r="BN98" s="4">
        <v>3.6740498467437099E-2</v>
      </c>
      <c r="BO98" s="4">
        <v>3.1994810183743699E-2</v>
      </c>
      <c r="BP98" s="4">
        <v>3.2152175394780498E-2</v>
      </c>
      <c r="BQ98" s="4">
        <v>3.6852502678577002E-2</v>
      </c>
      <c r="BR98" s="4">
        <v>2.7926771533528301E-2</v>
      </c>
      <c r="BS98" s="4">
        <v>7.4875725480848102E-2</v>
      </c>
      <c r="BT98" s="4">
        <v>0.11241309761759601</v>
      </c>
      <c r="BU98" s="4">
        <v>4.1131148222440003E-2</v>
      </c>
      <c r="BV98" s="4">
        <v>8.6798649257436106E-2</v>
      </c>
      <c r="BW98" s="4">
        <v>0.107661013343771</v>
      </c>
      <c r="BX98" s="4">
        <v>6.8044228885659697E-2</v>
      </c>
      <c r="BY98" s="4">
        <v>5.5054195624283798E-2</v>
      </c>
      <c r="BZ98" s="4">
        <v>5.7660736098513403E-2</v>
      </c>
      <c r="CA98" s="4">
        <v>5.2711021304851197E-2</v>
      </c>
      <c r="CB98" s="4">
        <v>5.0596709257777699E-2</v>
      </c>
      <c r="CC98" s="4">
        <v>6.7626869943847395E-2</v>
      </c>
      <c r="CD98" s="4">
        <v>3.5287284535645898E-2</v>
      </c>
      <c r="CE98" s="4">
        <v>7.69781215683948E-2</v>
      </c>
      <c r="CF98" s="4">
        <v>0.11483413824000201</v>
      </c>
      <c r="CG98" s="4">
        <v>4.29470957784975E-2</v>
      </c>
      <c r="CH98" s="4">
        <v>7.0729674725745095E-2</v>
      </c>
      <c r="CI98" s="4">
        <v>5.1895169574548101E-2</v>
      </c>
      <c r="CJ98" s="4">
        <v>8.7661132044683801E-2</v>
      </c>
      <c r="CK98" s="4">
        <v>2.92935940305389E-2</v>
      </c>
      <c r="CL98" s="4">
        <v>1.1625295880305E-2</v>
      </c>
      <c r="CM98" s="4">
        <v>4.5176678487894702E-2</v>
      </c>
      <c r="CN98" s="4">
        <v>1.6545801446125601E-2</v>
      </c>
      <c r="CO98" s="4">
        <v>2.3326008216744999E-2</v>
      </c>
      <c r="CP98" s="4">
        <v>1.04506701629433E-2</v>
      </c>
      <c r="CQ98" s="4">
        <v>4.27450595919057E-2</v>
      </c>
      <c r="CR98" s="4">
        <v>9.02945427761708E-2</v>
      </c>
      <c r="CS98" s="4">
        <v>0</v>
      </c>
      <c r="CT98" s="1">
        <f>Table1[[#This Row],[Female %]]*Table1[[#This Row],[NWS_pin]]</f>
        <v>0</v>
      </c>
      <c r="CU98" s="1">
        <f>Table1[[#This Row],[Male %]]*Table1[[#This Row],[NWS_pin]]</f>
        <v>0</v>
      </c>
      <c r="CV98" s="1">
        <f>Table1[[#This Row],[Female% (0-2)22]]+Table1[[#This Row],[Male%(0-2)3]]</f>
        <v>0</v>
      </c>
      <c r="CW98" s="1">
        <f>$CT98*Table1[[#This Row],[Female% (0-2)]]</f>
        <v>0</v>
      </c>
      <c r="CX98" s="1">
        <f>$CU98*Table1[[#This Row],[Male%(0-2)]]</f>
        <v>0</v>
      </c>
      <c r="CY98" s="1">
        <f>Table1[[#This Row],[Female%  (3-5)5]]+Table1[[#This Row],[Male% (3-5)6]]</f>
        <v>0</v>
      </c>
      <c r="CZ98" s="1">
        <f>$AF98*Table1[[#This Row],[Female%  (3-5)]]</f>
        <v>0</v>
      </c>
      <c r="DA98" s="1">
        <f>$CU98*Table1[[#This Row],[Male% (3-5)]]</f>
        <v>0</v>
      </c>
      <c r="DB98" s="1">
        <f>Table1[[#This Row],[Female% (6-8)8]]+Table1[[#This Row],[Male%(6-8)9]]</f>
        <v>0</v>
      </c>
      <c r="DC98" s="1">
        <f>$CT98*Table1[[#This Row],[Female% (6-8)]]</f>
        <v>0</v>
      </c>
      <c r="DD98" s="1">
        <f>$CU98*Table1[[#This Row],[Male%(6-8)]]</f>
        <v>0</v>
      </c>
      <c r="DE98" s="1">
        <f>Table1[[#This Row],[Female% (9 - 11)11]]+Table1[[#This Row],[Male% (9 - 11)12]]</f>
        <v>0</v>
      </c>
      <c r="DF98" s="1">
        <f>$CT98*Table1[[#This Row],[Female% (9 - 11)]]</f>
        <v>0</v>
      </c>
      <c r="DG98" s="1">
        <f>$CU98*Table1[[#This Row],[Male% (9 - 11)]]</f>
        <v>0</v>
      </c>
      <c r="DH98" s="1">
        <f>Table1[[#This Row],[Female% (12-14)14]]+Table1[[#This Row],[Male%(12-14)15]]</f>
        <v>0</v>
      </c>
      <c r="DI98" s="1">
        <f>$CT98*Table1[[#This Row],[Female% (12-14)]]</f>
        <v>0</v>
      </c>
      <c r="DJ98" s="1">
        <f>$CU98*Table1[[#This Row],[Male%(12-14)]]</f>
        <v>0</v>
      </c>
      <c r="DK98" s="1">
        <f>Table1[[#This Row],[Female% (15-17)17]]+Table1[[#This Row],[Male%(15-17)18]]</f>
        <v>0</v>
      </c>
      <c r="DL98" s="1">
        <f>$CT98*Table1[[#This Row],[Female% (15-17)]]</f>
        <v>0</v>
      </c>
      <c r="DM98" s="1">
        <f>$CU98*Table1[[#This Row],[Male%(15-17)]]</f>
        <v>0</v>
      </c>
      <c r="DN98" s="1">
        <f>$AF98*Table1[[#This Row],[Total% (18-19)]]</f>
        <v>0</v>
      </c>
      <c r="DO98" s="1">
        <f>$CT98*Table1[[#This Row],[Female% (18-19)]]</f>
        <v>0</v>
      </c>
      <c r="DP98" s="1">
        <f>$CU98*Table1[[#This Row],[Male%(18-19)]]</f>
        <v>0</v>
      </c>
      <c r="DQ98" s="1">
        <f>$AF98*Table1[[#This Row],[Total% (20-24)]]</f>
        <v>0</v>
      </c>
      <c r="DR98" s="1">
        <f>$CT98*Table1[[#This Row],[Female% (20-24)]]</f>
        <v>0</v>
      </c>
      <c r="DS98" s="1">
        <f>$CU98*Table1[[#This Row],[Male% (20-24)]]</f>
        <v>0</v>
      </c>
      <c r="DT98" s="1">
        <f>$AF98*Table1[[#This Row],[Total% (25-29)]]</f>
        <v>0</v>
      </c>
      <c r="DU98" s="1">
        <f>$CT98*Table1[[#This Row],[Female% (25-29)]]</f>
        <v>0</v>
      </c>
      <c r="DV98" s="1">
        <f>$CU98*Table1[[#This Row],[Male% (25-29)]]</f>
        <v>0</v>
      </c>
      <c r="DW98" s="1">
        <f>$AF98*Table1[[#This Row],[Total%   (30-34)]]</f>
        <v>0</v>
      </c>
      <c r="DX98" s="1">
        <f>$CT98*Table1[[#This Row],[Female%   (30-34)]]</f>
        <v>0</v>
      </c>
      <c r="DY98" s="1">
        <f>$CU98*Table1[[#This Row],[Male%  (30-34)]]</f>
        <v>0</v>
      </c>
      <c r="DZ98" s="1">
        <f>$AF98*Table1[[#This Row],[Total% (35-39)]]</f>
        <v>0</v>
      </c>
      <c r="EA98" s="1">
        <f>$CT98*Table1[[#This Row],[Female% (35-39)]]</f>
        <v>0</v>
      </c>
      <c r="EB98" s="1">
        <f>$CU98*Table1[[#This Row],[Male% (35-39)]]</f>
        <v>0</v>
      </c>
      <c r="EC98" s="1">
        <f>$AF98*Table1[[#This Row],[Total% (40-44)]]</f>
        <v>0</v>
      </c>
      <c r="ED98" s="1">
        <f>$CT98*Table1[[#This Row],[Female% (40-44)]]</f>
        <v>0</v>
      </c>
      <c r="EE98" s="1">
        <f>$CU98*Table1[[#This Row],[Male%(55-59)]]</f>
        <v>0</v>
      </c>
      <c r="EF98" s="1">
        <f>$AF98*Table1[[#This Row],[Total% (45-49)]]</f>
        <v>0</v>
      </c>
      <c r="EG98" s="1">
        <f>$CT98*Table1[[#This Row],[Female% (45-49)]]</f>
        <v>0</v>
      </c>
      <c r="EH98" s="1">
        <f>$CU98*Table1[[#This Row],[Male% (45-49)]]</f>
        <v>0</v>
      </c>
      <c r="EI98" s="1">
        <f>$AF98*Table1[[#This Row],[Total% (50-54)]]</f>
        <v>0</v>
      </c>
      <c r="EJ98" s="1">
        <f>$CT98*Table1[[#This Row],[Female%(50-54)]]</f>
        <v>0</v>
      </c>
      <c r="EK98" s="1">
        <f>$CU98*Table1[[#This Row],[Male% (50-54)]]</f>
        <v>0</v>
      </c>
      <c r="EL98" s="1">
        <f>$AF98*Table1[[#This Row],[Total% (55-59)]]</f>
        <v>0</v>
      </c>
      <c r="EM98" s="1">
        <f>$CT98*Table1[[#This Row],[Female% (55-59)]]</f>
        <v>0</v>
      </c>
      <c r="EN98" s="1">
        <f>$CU98*Table1[[#This Row],[Male% (55-59)]]</f>
        <v>0</v>
      </c>
      <c r="EO98" s="1">
        <f>$AF98*Table1[[#This Row],[Total% (60-64)]]</f>
        <v>0</v>
      </c>
      <c r="EP98" s="1">
        <f>$CT98*Table1[[#This Row],[Female%(60-64)]]</f>
        <v>0</v>
      </c>
      <c r="EQ98" s="1">
        <f>$CU98*Table1[[#This Row],[Male%(60-64)]]</f>
        <v>0</v>
      </c>
      <c r="ER98" s="1">
        <f>$AF98*Table1[[#This Row],[Total% (&gt;=65)]]</f>
        <v>0</v>
      </c>
      <c r="ES98" s="1">
        <f>$CT98*Table1[[#This Row],[Female%(&gt;=65)]]</f>
        <v>0</v>
      </c>
      <c r="ET98" s="1">
        <f>$CU98*Table1[[#This Row],[Male% (&gt;=65)]]</f>
        <v>0</v>
      </c>
    </row>
    <row r="99" spans="1:150" hidden="1" x14ac:dyDescent="0.35">
      <c r="A99" t="s">
        <v>17</v>
      </c>
      <c r="B99" t="s">
        <v>18</v>
      </c>
      <c r="C99" t="s">
        <v>579</v>
      </c>
      <c r="D99" t="s">
        <v>580</v>
      </c>
      <c r="E99" t="s">
        <v>579</v>
      </c>
      <c r="F99" t="s">
        <v>599</v>
      </c>
      <c r="H99">
        <v>2</v>
      </c>
      <c r="I99" s="1">
        <v>0</v>
      </c>
      <c r="J99" s="1">
        <v>2982</v>
      </c>
      <c r="K99" s="1">
        <v>942</v>
      </c>
      <c r="L99" s="1">
        <v>0</v>
      </c>
      <c r="M99" s="1">
        <v>0</v>
      </c>
      <c r="N99" s="1">
        <v>942</v>
      </c>
      <c r="O99" s="3">
        <v>1</v>
      </c>
      <c r="P99" s="3">
        <v>0</v>
      </c>
      <c r="Q99" s="3">
        <v>0</v>
      </c>
      <c r="R99" s="3">
        <v>0</v>
      </c>
      <c r="S99" s="3">
        <v>0</v>
      </c>
      <c r="T99" s="1">
        <v>3924</v>
      </c>
      <c r="U99" s="1">
        <v>0</v>
      </c>
      <c r="V99" s="10">
        <f>Table1[[#This Row],[Pop NW+RATAA]]*Table1[[#This Row],[Perc_pop_Northern_Aleppo]]</f>
        <v>0</v>
      </c>
      <c r="W99" s="10">
        <f>Table1[[#This Row],[Pop NW+RATAA]]*Table1[[#This Row],[Perc_pop_Afrin District]]</f>
        <v>0</v>
      </c>
      <c r="X99" s="10">
        <f>Table1[[#This Row],[Pop NW+RATAA]]*Table1[[#This Row],[Perc_pop_Euphrates Shiled]]</f>
        <v>0</v>
      </c>
      <c r="Y99" s="10">
        <f>Table1[[#This Row],[Pop NW+RATAA]]*Table1[[#This Row],[Perc_Pop_Idleb_NSAG]]</f>
        <v>0</v>
      </c>
      <c r="Z99" s="3">
        <v>0</v>
      </c>
      <c r="AA99" s="3">
        <v>0</v>
      </c>
      <c r="AB99" s="3">
        <v>0</v>
      </c>
      <c r="AC99" s="3">
        <v>0</v>
      </c>
      <c r="AD99" s="1">
        <v>942</v>
      </c>
      <c r="AE99" s="1">
        <v>0</v>
      </c>
      <c r="AF99" s="1">
        <v>0</v>
      </c>
      <c r="AG99" s="1">
        <v>0</v>
      </c>
      <c r="AH99" s="1">
        <v>0</v>
      </c>
      <c r="AI99" s="1">
        <f>Table1[[#This Row],[NWS_pin]]*Table1[[#This Row],[Perc_pop_Northern_Aleppo]]</f>
        <v>0</v>
      </c>
      <c r="AJ99" s="1">
        <f>Table1[[#This Row],[NWS_pin]]*Table1[[#This Row],[Perc_pop_Afrin District]]</f>
        <v>0</v>
      </c>
      <c r="AK99" s="1">
        <f>Table1[[#This Row],[NWS_pin]]*Table1[[#This Row],[Perc_pop_Euphrates Shiled]]</f>
        <v>0</v>
      </c>
      <c r="AL99" s="1">
        <f>Table1[[#This Row],[NWS_pin]]*Table1[[#This Row],[Perc_Pop_Idleb_NSAG]]</f>
        <v>0</v>
      </c>
      <c r="AM99" s="4">
        <v>0.51875593035152501</v>
      </c>
      <c r="AN99" s="4">
        <v>0.48124406964847499</v>
      </c>
      <c r="AO99" s="4">
        <v>0.147755491881566</v>
      </c>
      <c r="AP99" s="4">
        <v>0.35764014239719799</v>
      </c>
      <c r="AQ99" s="4">
        <v>0.61684617263813601</v>
      </c>
      <c r="AR99" s="4">
        <v>0</v>
      </c>
      <c r="AS99" s="4">
        <v>0</v>
      </c>
      <c r="AT99" s="4">
        <v>2.55136849646658E-2</v>
      </c>
      <c r="AU99" s="4">
        <v>3.5022645820415803E-2</v>
      </c>
      <c r="AV99" s="4">
        <v>3.8631344980560298E-2</v>
      </c>
      <c r="AW99" s="4">
        <v>3.1132656918221101E-2</v>
      </c>
      <c r="AX99" s="4">
        <v>7.8661662550579298E-2</v>
      </c>
      <c r="AY99" s="4">
        <v>5.3768225930596103E-2</v>
      </c>
      <c r="AZ99" s="4">
        <v>0.10549548490371299</v>
      </c>
      <c r="BA99" s="4">
        <v>9.3975603386565104E-2</v>
      </c>
      <c r="BB99" s="4">
        <v>7.0276905700484393E-2</v>
      </c>
      <c r="BC99" s="4">
        <v>0.119521559672826</v>
      </c>
      <c r="BD99" s="4">
        <v>9.6386927885584506E-2</v>
      </c>
      <c r="BE99" s="4">
        <v>0.11008523189932901</v>
      </c>
      <c r="BF99" s="4">
        <v>8.1620872798238001E-2</v>
      </c>
      <c r="BG99" s="4">
        <v>6.1903147703758099E-2</v>
      </c>
      <c r="BH99" s="4">
        <v>3.9364048799673999E-2</v>
      </c>
      <c r="BI99" s="4">
        <v>8.6199117168512002E-2</v>
      </c>
      <c r="BJ99" s="4">
        <v>5.1566158855981099E-2</v>
      </c>
      <c r="BK99" s="4">
        <v>8.1249905517444196E-2</v>
      </c>
      <c r="BL99" s="4">
        <v>1.9568632887642001E-2</v>
      </c>
      <c r="BM99" s="4">
        <v>1.6547348282744199E-2</v>
      </c>
      <c r="BN99" s="4">
        <v>2.5518510443292598E-2</v>
      </c>
      <c r="BO99" s="4">
        <v>6.8769048083361199E-3</v>
      </c>
      <c r="BP99" s="4">
        <v>3.2040875238379403E-2</v>
      </c>
      <c r="BQ99" s="4">
        <v>5.5385208921585202E-2</v>
      </c>
      <c r="BR99" s="4">
        <v>6.8769048083361199E-3</v>
      </c>
      <c r="BS99" s="4">
        <v>6.2093499335418703E-2</v>
      </c>
      <c r="BT99" s="4">
        <v>0.100558060763611</v>
      </c>
      <c r="BU99" s="4">
        <v>2.0630714425008401E-2</v>
      </c>
      <c r="BV99" s="4">
        <v>0.106215891309674</v>
      </c>
      <c r="BW99" s="4">
        <v>0.133135418530683</v>
      </c>
      <c r="BX99" s="4">
        <v>7.7198049285442993E-2</v>
      </c>
      <c r="BY99" s="4">
        <v>0.105807311431544</v>
      </c>
      <c r="BZ99" s="4">
        <v>7.6901717482444107E-2</v>
      </c>
      <c r="CA99" s="4">
        <v>0.136966029485735</v>
      </c>
      <c r="CB99" s="4">
        <v>9.5536709907835998E-2</v>
      </c>
      <c r="CC99" s="4">
        <v>7.1262186853789697E-2</v>
      </c>
      <c r="CD99" s="4">
        <v>0.121703375815926</v>
      </c>
      <c r="CE99" s="4">
        <v>4.1482813946280402E-2</v>
      </c>
      <c r="CF99" s="4">
        <v>4.5996253744688798E-2</v>
      </c>
      <c r="CG99" s="4">
        <v>3.6617561968382402E-2</v>
      </c>
      <c r="CH99" s="4">
        <v>5.42095721311351E-2</v>
      </c>
      <c r="CI99" s="4">
        <v>4.0349329952979303E-2</v>
      </c>
      <c r="CJ99" s="4">
        <v>6.91501880877715E-2</v>
      </c>
      <c r="CK99" s="4">
        <v>3.9223330369661698E-2</v>
      </c>
      <c r="CL99" s="4">
        <v>2.88814173249873E-2</v>
      </c>
      <c r="CM99" s="4">
        <v>5.03713715850546E-2</v>
      </c>
      <c r="CN99" s="4">
        <v>1.16729368577456E-2</v>
      </c>
      <c r="CO99" s="4">
        <v>0</v>
      </c>
      <c r="CP99" s="4">
        <v>2.4255752109884999E-2</v>
      </c>
      <c r="CQ99" s="4">
        <v>1.76535649866972E-2</v>
      </c>
      <c r="CR99" s="4">
        <v>2.8636233153850801E-2</v>
      </c>
      <c r="CS99" s="4">
        <v>5.81482327096972E-3</v>
      </c>
      <c r="CT99" s="1">
        <f>Table1[[#This Row],[Female %]]*Table1[[#This Row],[NWS_pin]]</f>
        <v>0</v>
      </c>
      <c r="CU99" s="1">
        <f>Table1[[#This Row],[Male %]]*Table1[[#This Row],[NWS_pin]]</f>
        <v>0</v>
      </c>
      <c r="CV99" s="1">
        <f>Table1[[#This Row],[Female% (0-2)22]]+Table1[[#This Row],[Male%(0-2)3]]</f>
        <v>0</v>
      </c>
      <c r="CW99" s="1">
        <f>$CT99*Table1[[#This Row],[Female% (0-2)]]</f>
        <v>0</v>
      </c>
      <c r="CX99" s="1">
        <f>$CU99*Table1[[#This Row],[Male%(0-2)]]</f>
        <v>0</v>
      </c>
      <c r="CY99" s="1">
        <f>Table1[[#This Row],[Female%  (3-5)5]]+Table1[[#This Row],[Male% (3-5)6]]</f>
        <v>0</v>
      </c>
      <c r="CZ99" s="1">
        <f>$AF99*Table1[[#This Row],[Female%  (3-5)]]</f>
        <v>0</v>
      </c>
      <c r="DA99" s="1">
        <f>$CU99*Table1[[#This Row],[Male% (3-5)]]</f>
        <v>0</v>
      </c>
      <c r="DB99" s="1">
        <f>Table1[[#This Row],[Female% (6-8)8]]+Table1[[#This Row],[Male%(6-8)9]]</f>
        <v>0</v>
      </c>
      <c r="DC99" s="1">
        <f>$CT99*Table1[[#This Row],[Female% (6-8)]]</f>
        <v>0</v>
      </c>
      <c r="DD99" s="1">
        <f>$CU99*Table1[[#This Row],[Male%(6-8)]]</f>
        <v>0</v>
      </c>
      <c r="DE99" s="1">
        <f>Table1[[#This Row],[Female% (9 - 11)11]]+Table1[[#This Row],[Male% (9 - 11)12]]</f>
        <v>0</v>
      </c>
      <c r="DF99" s="1">
        <f>$CT99*Table1[[#This Row],[Female% (9 - 11)]]</f>
        <v>0</v>
      </c>
      <c r="DG99" s="1">
        <f>$CU99*Table1[[#This Row],[Male% (9 - 11)]]</f>
        <v>0</v>
      </c>
      <c r="DH99" s="1">
        <f>Table1[[#This Row],[Female% (12-14)14]]+Table1[[#This Row],[Male%(12-14)15]]</f>
        <v>0</v>
      </c>
      <c r="DI99" s="1">
        <f>$CT99*Table1[[#This Row],[Female% (12-14)]]</f>
        <v>0</v>
      </c>
      <c r="DJ99" s="1">
        <f>$CU99*Table1[[#This Row],[Male%(12-14)]]</f>
        <v>0</v>
      </c>
      <c r="DK99" s="1">
        <f>Table1[[#This Row],[Female% (15-17)17]]+Table1[[#This Row],[Male%(15-17)18]]</f>
        <v>0</v>
      </c>
      <c r="DL99" s="1">
        <f>$CT99*Table1[[#This Row],[Female% (15-17)]]</f>
        <v>0</v>
      </c>
      <c r="DM99" s="1">
        <f>$CU99*Table1[[#This Row],[Male%(15-17)]]</f>
        <v>0</v>
      </c>
      <c r="DN99" s="1">
        <f>$AF99*Table1[[#This Row],[Total% (18-19)]]</f>
        <v>0</v>
      </c>
      <c r="DO99" s="1">
        <f>$CT99*Table1[[#This Row],[Female% (18-19)]]</f>
        <v>0</v>
      </c>
      <c r="DP99" s="1">
        <f>$CU99*Table1[[#This Row],[Male%(18-19)]]</f>
        <v>0</v>
      </c>
      <c r="DQ99" s="1">
        <f>$AF99*Table1[[#This Row],[Total% (20-24)]]</f>
        <v>0</v>
      </c>
      <c r="DR99" s="1">
        <f>$CT99*Table1[[#This Row],[Female% (20-24)]]</f>
        <v>0</v>
      </c>
      <c r="DS99" s="1">
        <f>$CU99*Table1[[#This Row],[Male% (20-24)]]</f>
        <v>0</v>
      </c>
      <c r="DT99" s="1">
        <f>$AF99*Table1[[#This Row],[Total% (25-29)]]</f>
        <v>0</v>
      </c>
      <c r="DU99" s="1">
        <f>$CT99*Table1[[#This Row],[Female% (25-29)]]</f>
        <v>0</v>
      </c>
      <c r="DV99" s="1">
        <f>$CU99*Table1[[#This Row],[Male% (25-29)]]</f>
        <v>0</v>
      </c>
      <c r="DW99" s="1">
        <f>$AF99*Table1[[#This Row],[Total%   (30-34)]]</f>
        <v>0</v>
      </c>
      <c r="DX99" s="1">
        <f>$CT99*Table1[[#This Row],[Female%   (30-34)]]</f>
        <v>0</v>
      </c>
      <c r="DY99" s="1">
        <f>$CU99*Table1[[#This Row],[Male%  (30-34)]]</f>
        <v>0</v>
      </c>
      <c r="DZ99" s="1">
        <f>$AF99*Table1[[#This Row],[Total% (35-39)]]</f>
        <v>0</v>
      </c>
      <c r="EA99" s="1">
        <f>$CT99*Table1[[#This Row],[Female% (35-39)]]</f>
        <v>0</v>
      </c>
      <c r="EB99" s="1">
        <f>$CU99*Table1[[#This Row],[Male% (35-39)]]</f>
        <v>0</v>
      </c>
      <c r="EC99" s="1">
        <f>$AF99*Table1[[#This Row],[Total% (40-44)]]</f>
        <v>0</v>
      </c>
      <c r="ED99" s="1">
        <f>$CT99*Table1[[#This Row],[Female% (40-44)]]</f>
        <v>0</v>
      </c>
      <c r="EE99" s="1">
        <f>$CU99*Table1[[#This Row],[Male%(55-59)]]</f>
        <v>0</v>
      </c>
      <c r="EF99" s="1">
        <f>$AF99*Table1[[#This Row],[Total% (45-49)]]</f>
        <v>0</v>
      </c>
      <c r="EG99" s="1">
        <f>$CT99*Table1[[#This Row],[Female% (45-49)]]</f>
        <v>0</v>
      </c>
      <c r="EH99" s="1">
        <f>$CU99*Table1[[#This Row],[Male% (45-49)]]</f>
        <v>0</v>
      </c>
      <c r="EI99" s="1">
        <f>$AF99*Table1[[#This Row],[Total% (50-54)]]</f>
        <v>0</v>
      </c>
      <c r="EJ99" s="1">
        <f>$CT99*Table1[[#This Row],[Female%(50-54)]]</f>
        <v>0</v>
      </c>
      <c r="EK99" s="1">
        <f>$CU99*Table1[[#This Row],[Male% (50-54)]]</f>
        <v>0</v>
      </c>
      <c r="EL99" s="1">
        <f>$AF99*Table1[[#This Row],[Total% (55-59)]]</f>
        <v>0</v>
      </c>
      <c r="EM99" s="1">
        <f>$CT99*Table1[[#This Row],[Female% (55-59)]]</f>
        <v>0</v>
      </c>
      <c r="EN99" s="1">
        <f>$CU99*Table1[[#This Row],[Male% (55-59)]]</f>
        <v>0</v>
      </c>
      <c r="EO99" s="1">
        <f>$AF99*Table1[[#This Row],[Total% (60-64)]]</f>
        <v>0</v>
      </c>
      <c r="EP99" s="1">
        <f>$CT99*Table1[[#This Row],[Female%(60-64)]]</f>
        <v>0</v>
      </c>
      <c r="EQ99" s="1">
        <f>$CU99*Table1[[#This Row],[Male%(60-64)]]</f>
        <v>0</v>
      </c>
      <c r="ER99" s="1">
        <f>$AF99*Table1[[#This Row],[Total% (&gt;=65)]]</f>
        <v>0</v>
      </c>
      <c r="ES99" s="1">
        <f>$CT99*Table1[[#This Row],[Female%(&gt;=65)]]</f>
        <v>0</v>
      </c>
      <c r="ET99" s="1">
        <f>$CU99*Table1[[#This Row],[Male% (&gt;=65)]]</f>
        <v>0</v>
      </c>
    </row>
    <row r="100" spans="1:150" hidden="1" x14ac:dyDescent="0.35">
      <c r="A100" t="s">
        <v>17</v>
      </c>
      <c r="B100" t="s">
        <v>18</v>
      </c>
      <c r="C100" t="s">
        <v>579</v>
      </c>
      <c r="D100" t="s">
        <v>580</v>
      </c>
      <c r="E100" t="s">
        <v>581</v>
      </c>
      <c r="F100" t="s">
        <v>582</v>
      </c>
      <c r="H100">
        <v>3</v>
      </c>
      <c r="I100" s="1">
        <v>0</v>
      </c>
      <c r="J100" s="1">
        <v>2485</v>
      </c>
      <c r="K100" s="1">
        <v>1581</v>
      </c>
      <c r="L100" s="1">
        <v>0</v>
      </c>
      <c r="M100" s="1">
        <v>0</v>
      </c>
      <c r="N100" s="1">
        <v>1581</v>
      </c>
      <c r="O100" s="3">
        <v>1</v>
      </c>
      <c r="P100" s="3">
        <v>0</v>
      </c>
      <c r="Q100" s="3">
        <v>0</v>
      </c>
      <c r="R100" s="3">
        <v>0</v>
      </c>
      <c r="S100" s="3">
        <v>0</v>
      </c>
      <c r="T100" s="1">
        <v>4066</v>
      </c>
      <c r="U100" s="1">
        <v>0</v>
      </c>
      <c r="V100" s="10">
        <f>Table1[[#This Row],[Pop NW+RATAA]]*Table1[[#This Row],[Perc_pop_Northern_Aleppo]]</f>
        <v>0</v>
      </c>
      <c r="W100" s="10">
        <f>Table1[[#This Row],[Pop NW+RATAA]]*Table1[[#This Row],[Perc_pop_Afrin District]]</f>
        <v>0</v>
      </c>
      <c r="X100" s="10">
        <f>Table1[[#This Row],[Pop NW+RATAA]]*Table1[[#This Row],[Perc_pop_Euphrates Shiled]]</f>
        <v>0</v>
      </c>
      <c r="Y100" s="10">
        <f>Table1[[#This Row],[Pop NW+RATAA]]*Table1[[#This Row],[Perc_Pop_Idleb_NSAG]]</f>
        <v>0</v>
      </c>
      <c r="Z100" s="3">
        <v>0</v>
      </c>
      <c r="AA100" s="3">
        <v>0</v>
      </c>
      <c r="AB100" s="3">
        <v>0</v>
      </c>
      <c r="AC100" s="3">
        <v>0</v>
      </c>
      <c r="AD100" s="1">
        <v>1581</v>
      </c>
      <c r="AE100" s="1">
        <v>0</v>
      </c>
      <c r="AF100" s="1">
        <v>0</v>
      </c>
      <c r="AG100" s="1">
        <v>0</v>
      </c>
      <c r="AH100" s="1">
        <v>0</v>
      </c>
      <c r="AI100" s="1">
        <f>Table1[[#This Row],[NWS_pin]]*Table1[[#This Row],[Perc_pop_Northern_Aleppo]]</f>
        <v>0</v>
      </c>
      <c r="AJ100" s="1">
        <f>Table1[[#This Row],[NWS_pin]]*Table1[[#This Row],[Perc_pop_Afrin District]]</f>
        <v>0</v>
      </c>
      <c r="AK100" s="1">
        <f>Table1[[#This Row],[NWS_pin]]*Table1[[#This Row],[Perc_pop_Euphrates Shiled]]</f>
        <v>0</v>
      </c>
      <c r="AL100" s="1">
        <f>Table1[[#This Row],[NWS_pin]]*Table1[[#This Row],[Perc_Pop_Idleb_NSAG]]</f>
        <v>0</v>
      </c>
      <c r="AM100" s="4">
        <v>0.47051745699409298</v>
      </c>
      <c r="AN100" s="4">
        <v>0.52948254300590702</v>
      </c>
      <c r="AO100" s="4">
        <v>0.35572327044025198</v>
      </c>
      <c r="AP100" s="4">
        <v>0.34938424138354501</v>
      </c>
      <c r="AQ100" s="4">
        <v>0.55180145741554198</v>
      </c>
      <c r="AR100" s="4">
        <v>0</v>
      </c>
      <c r="AS100" s="4">
        <v>0</v>
      </c>
      <c r="AT100" s="4">
        <v>9.8814301200912405E-2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7.05242846005628E-2</v>
      </c>
      <c r="BE100" s="4">
        <v>8.2367576344555604E-2</v>
      </c>
      <c r="BF100" s="4">
        <v>5.99999045479414E-2</v>
      </c>
      <c r="BG100" s="4">
        <v>6.3445825598362607E-2</v>
      </c>
      <c r="BH100" s="4">
        <v>1.3743034495434301E-2</v>
      </c>
      <c r="BI100" s="4">
        <v>0.10761353458928501</v>
      </c>
      <c r="BJ100" s="4">
        <v>0.19387529070265999</v>
      </c>
      <c r="BK100" s="4">
        <v>0.108687755033841</v>
      </c>
      <c r="BL100" s="4">
        <v>0.26957603509913602</v>
      </c>
      <c r="BM100" s="4">
        <v>9.6710776015034999E-3</v>
      </c>
      <c r="BN100" s="4">
        <v>6.8715172477171399E-3</v>
      </c>
      <c r="BO100" s="4">
        <v>1.2158868815330799E-2</v>
      </c>
      <c r="BP100" s="4">
        <v>3.23316882108692E-3</v>
      </c>
      <c r="BQ100" s="4">
        <v>0</v>
      </c>
      <c r="BR100" s="4">
        <v>6.10628029912376E-3</v>
      </c>
      <c r="BS100" s="4">
        <v>1.1881977311334901E-2</v>
      </c>
      <c r="BT100" s="4">
        <v>2.52529999359494E-2</v>
      </c>
      <c r="BU100" s="4">
        <v>0</v>
      </c>
      <c r="BV100" s="4">
        <v>9.6995064632607597E-3</v>
      </c>
      <c r="BW100" s="4">
        <v>2.06145517431514E-2</v>
      </c>
      <c r="BX100" s="4">
        <v>0</v>
      </c>
      <c r="BY100" s="4">
        <v>2.9070090528024999E-2</v>
      </c>
      <c r="BZ100" s="4">
        <v>4.8040200315319997E-2</v>
      </c>
      <c r="CA100" s="4">
        <v>1.2212560598247499E-2</v>
      </c>
      <c r="CB100" s="4">
        <v>6.1494447468927002E-2</v>
      </c>
      <c r="CC100" s="4">
        <v>0.103269709389224</v>
      </c>
      <c r="CD100" s="4">
        <v>2.43714294135783E-2</v>
      </c>
      <c r="CE100" s="4">
        <v>0.115182727269388</v>
      </c>
      <c r="CF100" s="4">
        <v>0.15985146721662699</v>
      </c>
      <c r="CG100" s="4">
        <v>7.5488459337931205E-2</v>
      </c>
      <c r="CH100" s="4">
        <v>0.12764288679344099</v>
      </c>
      <c r="CI100" s="4">
        <v>0.14815514332419499</v>
      </c>
      <c r="CJ100" s="4">
        <v>0.10941494914460199</v>
      </c>
      <c r="CK100" s="4">
        <v>9.8756261866271206E-2</v>
      </c>
      <c r="CL100" s="4">
        <v>6.5225582492619297E-2</v>
      </c>
      <c r="CM100" s="4">
        <v>0.12855284382836801</v>
      </c>
      <c r="CN100" s="4">
        <v>4.6885229783704102E-2</v>
      </c>
      <c r="CO100" s="4">
        <v>6.8413070383671302E-3</v>
      </c>
      <c r="CP100" s="4">
        <v>8.2469716840142704E-2</v>
      </c>
      <c r="CQ100" s="4">
        <v>0.158637225191472</v>
      </c>
      <c r="CR100" s="4">
        <v>0.21107915542299899</v>
      </c>
      <c r="CS100" s="4">
        <v>0.112035417486313</v>
      </c>
      <c r="CT100" s="1">
        <f>Table1[[#This Row],[Female %]]*Table1[[#This Row],[NWS_pin]]</f>
        <v>0</v>
      </c>
      <c r="CU100" s="1">
        <f>Table1[[#This Row],[Male %]]*Table1[[#This Row],[NWS_pin]]</f>
        <v>0</v>
      </c>
      <c r="CV100" s="1">
        <f>Table1[[#This Row],[Female% (0-2)22]]+Table1[[#This Row],[Male%(0-2)3]]</f>
        <v>0</v>
      </c>
      <c r="CW100" s="1">
        <f>$CT100*Table1[[#This Row],[Female% (0-2)]]</f>
        <v>0</v>
      </c>
      <c r="CX100" s="1">
        <f>$CU100*Table1[[#This Row],[Male%(0-2)]]</f>
        <v>0</v>
      </c>
      <c r="CY100" s="1">
        <f>Table1[[#This Row],[Female%  (3-5)5]]+Table1[[#This Row],[Male% (3-5)6]]</f>
        <v>0</v>
      </c>
      <c r="CZ100" s="1">
        <f>$AF100*Table1[[#This Row],[Female%  (3-5)]]</f>
        <v>0</v>
      </c>
      <c r="DA100" s="1">
        <f>$CU100*Table1[[#This Row],[Male% (3-5)]]</f>
        <v>0</v>
      </c>
      <c r="DB100" s="1">
        <f>Table1[[#This Row],[Female% (6-8)8]]+Table1[[#This Row],[Male%(6-8)9]]</f>
        <v>0</v>
      </c>
      <c r="DC100" s="1">
        <f>$CT100*Table1[[#This Row],[Female% (6-8)]]</f>
        <v>0</v>
      </c>
      <c r="DD100" s="1">
        <f>$CU100*Table1[[#This Row],[Male%(6-8)]]</f>
        <v>0</v>
      </c>
      <c r="DE100" s="1">
        <f>Table1[[#This Row],[Female% (9 - 11)11]]+Table1[[#This Row],[Male% (9 - 11)12]]</f>
        <v>0</v>
      </c>
      <c r="DF100" s="1">
        <f>$CT100*Table1[[#This Row],[Female% (9 - 11)]]</f>
        <v>0</v>
      </c>
      <c r="DG100" s="1">
        <f>$CU100*Table1[[#This Row],[Male% (9 - 11)]]</f>
        <v>0</v>
      </c>
      <c r="DH100" s="1">
        <f>Table1[[#This Row],[Female% (12-14)14]]+Table1[[#This Row],[Male%(12-14)15]]</f>
        <v>0</v>
      </c>
      <c r="DI100" s="1">
        <f>$CT100*Table1[[#This Row],[Female% (12-14)]]</f>
        <v>0</v>
      </c>
      <c r="DJ100" s="1">
        <f>$CU100*Table1[[#This Row],[Male%(12-14)]]</f>
        <v>0</v>
      </c>
      <c r="DK100" s="1">
        <f>Table1[[#This Row],[Female% (15-17)17]]+Table1[[#This Row],[Male%(15-17)18]]</f>
        <v>0</v>
      </c>
      <c r="DL100" s="1">
        <f>$CT100*Table1[[#This Row],[Female% (15-17)]]</f>
        <v>0</v>
      </c>
      <c r="DM100" s="1">
        <f>$CU100*Table1[[#This Row],[Male%(15-17)]]</f>
        <v>0</v>
      </c>
      <c r="DN100" s="1">
        <f>$AF100*Table1[[#This Row],[Total% (18-19)]]</f>
        <v>0</v>
      </c>
      <c r="DO100" s="1">
        <f>$CT100*Table1[[#This Row],[Female% (18-19)]]</f>
        <v>0</v>
      </c>
      <c r="DP100" s="1">
        <f>$CU100*Table1[[#This Row],[Male%(18-19)]]</f>
        <v>0</v>
      </c>
      <c r="DQ100" s="1">
        <f>$AF100*Table1[[#This Row],[Total% (20-24)]]</f>
        <v>0</v>
      </c>
      <c r="DR100" s="1">
        <f>$CT100*Table1[[#This Row],[Female% (20-24)]]</f>
        <v>0</v>
      </c>
      <c r="DS100" s="1">
        <f>$CU100*Table1[[#This Row],[Male% (20-24)]]</f>
        <v>0</v>
      </c>
      <c r="DT100" s="1">
        <f>$AF100*Table1[[#This Row],[Total% (25-29)]]</f>
        <v>0</v>
      </c>
      <c r="DU100" s="1">
        <f>$CT100*Table1[[#This Row],[Female% (25-29)]]</f>
        <v>0</v>
      </c>
      <c r="DV100" s="1">
        <f>$CU100*Table1[[#This Row],[Male% (25-29)]]</f>
        <v>0</v>
      </c>
      <c r="DW100" s="1">
        <f>$AF100*Table1[[#This Row],[Total%   (30-34)]]</f>
        <v>0</v>
      </c>
      <c r="DX100" s="1">
        <f>$CT100*Table1[[#This Row],[Female%   (30-34)]]</f>
        <v>0</v>
      </c>
      <c r="DY100" s="1">
        <f>$CU100*Table1[[#This Row],[Male%  (30-34)]]</f>
        <v>0</v>
      </c>
      <c r="DZ100" s="1">
        <f>$AF100*Table1[[#This Row],[Total% (35-39)]]</f>
        <v>0</v>
      </c>
      <c r="EA100" s="1">
        <f>$CT100*Table1[[#This Row],[Female% (35-39)]]</f>
        <v>0</v>
      </c>
      <c r="EB100" s="1">
        <f>$CU100*Table1[[#This Row],[Male% (35-39)]]</f>
        <v>0</v>
      </c>
      <c r="EC100" s="1">
        <f>$AF100*Table1[[#This Row],[Total% (40-44)]]</f>
        <v>0</v>
      </c>
      <c r="ED100" s="1">
        <f>$CT100*Table1[[#This Row],[Female% (40-44)]]</f>
        <v>0</v>
      </c>
      <c r="EE100" s="1">
        <f>$CU100*Table1[[#This Row],[Male%(55-59)]]</f>
        <v>0</v>
      </c>
      <c r="EF100" s="1">
        <f>$AF100*Table1[[#This Row],[Total% (45-49)]]</f>
        <v>0</v>
      </c>
      <c r="EG100" s="1">
        <f>$CT100*Table1[[#This Row],[Female% (45-49)]]</f>
        <v>0</v>
      </c>
      <c r="EH100" s="1">
        <f>$CU100*Table1[[#This Row],[Male% (45-49)]]</f>
        <v>0</v>
      </c>
      <c r="EI100" s="1">
        <f>$AF100*Table1[[#This Row],[Total% (50-54)]]</f>
        <v>0</v>
      </c>
      <c r="EJ100" s="1">
        <f>$CT100*Table1[[#This Row],[Female%(50-54)]]</f>
        <v>0</v>
      </c>
      <c r="EK100" s="1">
        <f>$CU100*Table1[[#This Row],[Male% (50-54)]]</f>
        <v>0</v>
      </c>
      <c r="EL100" s="1">
        <f>$AF100*Table1[[#This Row],[Total% (55-59)]]</f>
        <v>0</v>
      </c>
      <c r="EM100" s="1">
        <f>$CT100*Table1[[#This Row],[Female% (55-59)]]</f>
        <v>0</v>
      </c>
      <c r="EN100" s="1">
        <f>$CU100*Table1[[#This Row],[Male% (55-59)]]</f>
        <v>0</v>
      </c>
      <c r="EO100" s="1">
        <f>$AF100*Table1[[#This Row],[Total% (60-64)]]</f>
        <v>0</v>
      </c>
      <c r="EP100" s="1">
        <f>$CT100*Table1[[#This Row],[Female%(60-64)]]</f>
        <v>0</v>
      </c>
      <c r="EQ100" s="1">
        <f>$CU100*Table1[[#This Row],[Male%(60-64)]]</f>
        <v>0</v>
      </c>
      <c r="ER100" s="1">
        <f>$AF100*Table1[[#This Row],[Total% (&gt;=65)]]</f>
        <v>0</v>
      </c>
      <c r="ES100" s="1">
        <f>$CT100*Table1[[#This Row],[Female%(&gt;=65)]]</f>
        <v>0</v>
      </c>
      <c r="ET100" s="1">
        <f>$CU100*Table1[[#This Row],[Male% (&gt;=65)]]</f>
        <v>0</v>
      </c>
    </row>
    <row r="101" spans="1:150" hidden="1" x14ac:dyDescent="0.35">
      <c r="A101" t="s">
        <v>17</v>
      </c>
      <c r="B101" t="s">
        <v>18</v>
      </c>
      <c r="C101" t="s">
        <v>118</v>
      </c>
      <c r="D101" t="s">
        <v>119</v>
      </c>
      <c r="E101" t="s">
        <v>118</v>
      </c>
      <c r="F101" t="s">
        <v>120</v>
      </c>
      <c r="H101">
        <v>2</v>
      </c>
      <c r="I101" s="1">
        <v>0</v>
      </c>
      <c r="J101" s="1">
        <v>35400</v>
      </c>
      <c r="K101" s="1">
        <v>11179</v>
      </c>
      <c r="L101" s="1">
        <v>0</v>
      </c>
      <c r="M101" s="1">
        <v>0</v>
      </c>
      <c r="N101" s="1">
        <v>11179</v>
      </c>
      <c r="O101" s="3">
        <v>1</v>
      </c>
      <c r="P101" s="3">
        <v>0</v>
      </c>
      <c r="Q101" s="3">
        <v>0</v>
      </c>
      <c r="R101" s="3">
        <v>0</v>
      </c>
      <c r="S101" s="3">
        <v>0</v>
      </c>
      <c r="T101" s="1">
        <v>46579</v>
      </c>
      <c r="U101" s="1">
        <v>0</v>
      </c>
      <c r="V101" s="10">
        <f>Table1[[#This Row],[Pop NW+RATAA]]*Table1[[#This Row],[Perc_pop_Northern_Aleppo]]</f>
        <v>0</v>
      </c>
      <c r="W101" s="10">
        <f>Table1[[#This Row],[Pop NW+RATAA]]*Table1[[#This Row],[Perc_pop_Afrin District]]</f>
        <v>0</v>
      </c>
      <c r="X101" s="10">
        <f>Table1[[#This Row],[Pop NW+RATAA]]*Table1[[#This Row],[Perc_pop_Euphrates Shiled]]</f>
        <v>0</v>
      </c>
      <c r="Y101" s="10">
        <f>Table1[[#This Row],[Pop NW+RATAA]]*Table1[[#This Row],[Perc_Pop_Idleb_NSAG]]</f>
        <v>0</v>
      </c>
      <c r="Z101" s="3">
        <v>0</v>
      </c>
      <c r="AA101" s="3">
        <v>0</v>
      </c>
      <c r="AB101" s="3">
        <v>0</v>
      </c>
      <c r="AC101" s="3">
        <v>0</v>
      </c>
      <c r="AD101" s="1">
        <v>11179</v>
      </c>
      <c r="AE101" s="1">
        <v>0</v>
      </c>
      <c r="AF101" s="1">
        <v>0</v>
      </c>
      <c r="AG101" s="1">
        <v>0</v>
      </c>
      <c r="AH101" s="1">
        <v>0</v>
      </c>
      <c r="AI101" s="1">
        <f>Table1[[#This Row],[NWS_pin]]*Table1[[#This Row],[Perc_pop_Northern_Aleppo]]</f>
        <v>0</v>
      </c>
      <c r="AJ101" s="1">
        <f>Table1[[#This Row],[NWS_pin]]*Table1[[#This Row],[Perc_pop_Afrin District]]</f>
        <v>0</v>
      </c>
      <c r="AK101" s="1">
        <f>Table1[[#This Row],[NWS_pin]]*Table1[[#This Row],[Perc_pop_Euphrates Shiled]]</f>
        <v>0</v>
      </c>
      <c r="AL101" s="1">
        <f>Table1[[#This Row],[NWS_pin]]*Table1[[#This Row],[Perc_Pop_Idleb_NSAG]]</f>
        <v>0</v>
      </c>
      <c r="AM101" s="4">
        <v>0.45775064251956199</v>
      </c>
      <c r="AN101" s="4">
        <v>0.54224935748043801</v>
      </c>
      <c r="AO101" s="4">
        <v>0.196856973035509</v>
      </c>
      <c r="AP101" s="4">
        <v>0.392912844354385</v>
      </c>
      <c r="AQ101" s="4">
        <v>0.527402098696931</v>
      </c>
      <c r="AR101" s="4">
        <v>7.8426148404711592E-3</v>
      </c>
      <c r="AS101" s="4">
        <v>0</v>
      </c>
      <c r="AT101" s="4">
        <v>7.18424421082135E-2</v>
      </c>
      <c r="AU101" s="4">
        <v>3.3374192333870699E-2</v>
      </c>
      <c r="AV101" s="4">
        <v>5.6648675132790803E-3</v>
      </c>
      <c r="AW101" s="4">
        <v>5.6765573191093197E-2</v>
      </c>
      <c r="AX101" s="4">
        <v>6.2755144604318303E-2</v>
      </c>
      <c r="AY101" s="4">
        <v>3.6910868500873502E-2</v>
      </c>
      <c r="AZ101" s="4">
        <v>8.4572107277679498E-2</v>
      </c>
      <c r="BA101" s="4">
        <v>6.0167345395821699E-2</v>
      </c>
      <c r="BB101" s="4">
        <v>5.4723260276300097E-2</v>
      </c>
      <c r="BC101" s="4">
        <v>6.4763078755417397E-2</v>
      </c>
      <c r="BD101" s="4">
        <v>4.4119914919704697E-2</v>
      </c>
      <c r="BE101" s="4">
        <v>2.4811735649348E-2</v>
      </c>
      <c r="BF101" s="4">
        <v>6.0419300700364803E-2</v>
      </c>
      <c r="BG101" s="4">
        <v>8.6222476753957195E-2</v>
      </c>
      <c r="BH101" s="4">
        <v>7.8263914873312607E-2</v>
      </c>
      <c r="BI101" s="4">
        <v>9.2940855972190206E-2</v>
      </c>
      <c r="BJ101" s="4">
        <v>9.4351029281846105E-2</v>
      </c>
      <c r="BK101" s="4">
        <v>8.5012903608048196E-2</v>
      </c>
      <c r="BL101" s="4">
        <v>0.10223399487349</v>
      </c>
      <c r="BM101" s="4">
        <v>4.2532740468790201E-2</v>
      </c>
      <c r="BN101" s="4">
        <v>3.9167342055428503E-2</v>
      </c>
      <c r="BO101" s="4">
        <v>4.5373708862387903E-2</v>
      </c>
      <c r="BP101" s="4">
        <v>4.0132441200227402E-2</v>
      </c>
      <c r="BQ101" s="4">
        <v>4.0825912847632699E-2</v>
      </c>
      <c r="BR101" s="4">
        <v>3.9547033236548401E-2</v>
      </c>
      <c r="BS101" s="4">
        <v>6.8452901873914104E-2</v>
      </c>
      <c r="BT101" s="4">
        <v>0.119801923970795</v>
      </c>
      <c r="BU101" s="4">
        <v>2.5105597661669699E-2</v>
      </c>
      <c r="BV101" s="4">
        <v>7.4349574569223004E-2</v>
      </c>
      <c r="BW101" s="4">
        <v>8.2846607063128394E-2</v>
      </c>
      <c r="BX101" s="4">
        <v>6.7176634610995295E-2</v>
      </c>
      <c r="BY101" s="4">
        <v>0.100111302158368</v>
      </c>
      <c r="BZ101" s="4">
        <v>0.123866546423826</v>
      </c>
      <c r="CA101" s="4">
        <v>8.0057837500985607E-2</v>
      </c>
      <c r="CB101" s="4">
        <v>7.5316749843834005E-2</v>
      </c>
      <c r="CC101" s="4">
        <v>7.5982707931106397E-2</v>
      </c>
      <c r="CD101" s="4">
        <v>7.4754568002335001E-2</v>
      </c>
      <c r="CE101" s="4">
        <v>3.8693574302752297E-2</v>
      </c>
      <c r="CF101" s="4">
        <v>2.5634389629920401E-2</v>
      </c>
      <c r="CG101" s="4">
        <v>4.9717746286185402E-2</v>
      </c>
      <c r="CH101" s="4">
        <v>4.8276933215446703E-2</v>
      </c>
      <c r="CI101" s="4">
        <v>6.7917677658822506E-2</v>
      </c>
      <c r="CJ101" s="4">
        <v>3.1696805891197902E-2</v>
      </c>
      <c r="CK101" s="4">
        <v>2.8661729785512902E-2</v>
      </c>
      <c r="CL101" s="4">
        <v>2.4853674871886899E-2</v>
      </c>
      <c r="CM101" s="4">
        <v>3.1876375518910399E-2</v>
      </c>
      <c r="CN101" s="4">
        <v>3.0407478694941301E-2</v>
      </c>
      <c r="CO101" s="4">
        <v>2.3539732855857799E-2</v>
      </c>
      <c r="CP101" s="4">
        <v>3.6205023730511002E-2</v>
      </c>
      <c r="CQ101" s="4">
        <v>7.2074470597470797E-2</v>
      </c>
      <c r="CR101" s="4">
        <v>9.0175934270433397E-2</v>
      </c>
      <c r="CS101" s="4">
        <v>5.6793757928038001E-2</v>
      </c>
      <c r="CT101" s="1">
        <f>Table1[[#This Row],[Female %]]*Table1[[#This Row],[NWS_pin]]</f>
        <v>0</v>
      </c>
      <c r="CU101" s="1">
        <f>Table1[[#This Row],[Male %]]*Table1[[#This Row],[NWS_pin]]</f>
        <v>0</v>
      </c>
      <c r="CV101" s="1">
        <f>Table1[[#This Row],[Female% (0-2)22]]+Table1[[#This Row],[Male%(0-2)3]]</f>
        <v>0</v>
      </c>
      <c r="CW101" s="1">
        <f>$CT101*Table1[[#This Row],[Female% (0-2)]]</f>
        <v>0</v>
      </c>
      <c r="CX101" s="1">
        <f>$CU101*Table1[[#This Row],[Male%(0-2)]]</f>
        <v>0</v>
      </c>
      <c r="CY101" s="1">
        <f>Table1[[#This Row],[Female%  (3-5)5]]+Table1[[#This Row],[Male% (3-5)6]]</f>
        <v>0</v>
      </c>
      <c r="CZ101" s="1">
        <f>$AF101*Table1[[#This Row],[Female%  (3-5)]]</f>
        <v>0</v>
      </c>
      <c r="DA101" s="1">
        <f>$CU101*Table1[[#This Row],[Male% (3-5)]]</f>
        <v>0</v>
      </c>
      <c r="DB101" s="1">
        <f>Table1[[#This Row],[Female% (6-8)8]]+Table1[[#This Row],[Male%(6-8)9]]</f>
        <v>0</v>
      </c>
      <c r="DC101" s="1">
        <f>$CT101*Table1[[#This Row],[Female% (6-8)]]</f>
        <v>0</v>
      </c>
      <c r="DD101" s="1">
        <f>$CU101*Table1[[#This Row],[Male%(6-8)]]</f>
        <v>0</v>
      </c>
      <c r="DE101" s="1">
        <f>Table1[[#This Row],[Female% (9 - 11)11]]+Table1[[#This Row],[Male% (9 - 11)12]]</f>
        <v>0</v>
      </c>
      <c r="DF101" s="1">
        <f>$CT101*Table1[[#This Row],[Female% (9 - 11)]]</f>
        <v>0</v>
      </c>
      <c r="DG101" s="1">
        <f>$CU101*Table1[[#This Row],[Male% (9 - 11)]]</f>
        <v>0</v>
      </c>
      <c r="DH101" s="1">
        <f>Table1[[#This Row],[Female% (12-14)14]]+Table1[[#This Row],[Male%(12-14)15]]</f>
        <v>0</v>
      </c>
      <c r="DI101" s="1">
        <f>$CT101*Table1[[#This Row],[Female% (12-14)]]</f>
        <v>0</v>
      </c>
      <c r="DJ101" s="1">
        <f>$CU101*Table1[[#This Row],[Male%(12-14)]]</f>
        <v>0</v>
      </c>
      <c r="DK101" s="1">
        <f>Table1[[#This Row],[Female% (15-17)17]]+Table1[[#This Row],[Male%(15-17)18]]</f>
        <v>0</v>
      </c>
      <c r="DL101" s="1">
        <f>$CT101*Table1[[#This Row],[Female% (15-17)]]</f>
        <v>0</v>
      </c>
      <c r="DM101" s="1">
        <f>$CU101*Table1[[#This Row],[Male%(15-17)]]</f>
        <v>0</v>
      </c>
      <c r="DN101" s="1">
        <f>$AF101*Table1[[#This Row],[Total% (18-19)]]</f>
        <v>0</v>
      </c>
      <c r="DO101" s="1">
        <f>$CT101*Table1[[#This Row],[Female% (18-19)]]</f>
        <v>0</v>
      </c>
      <c r="DP101" s="1">
        <f>$CU101*Table1[[#This Row],[Male%(18-19)]]</f>
        <v>0</v>
      </c>
      <c r="DQ101" s="1">
        <f>$AF101*Table1[[#This Row],[Total% (20-24)]]</f>
        <v>0</v>
      </c>
      <c r="DR101" s="1">
        <f>$CT101*Table1[[#This Row],[Female% (20-24)]]</f>
        <v>0</v>
      </c>
      <c r="DS101" s="1">
        <f>$CU101*Table1[[#This Row],[Male% (20-24)]]</f>
        <v>0</v>
      </c>
      <c r="DT101" s="1">
        <f>$AF101*Table1[[#This Row],[Total% (25-29)]]</f>
        <v>0</v>
      </c>
      <c r="DU101" s="1">
        <f>$CT101*Table1[[#This Row],[Female% (25-29)]]</f>
        <v>0</v>
      </c>
      <c r="DV101" s="1">
        <f>$CU101*Table1[[#This Row],[Male% (25-29)]]</f>
        <v>0</v>
      </c>
      <c r="DW101" s="1">
        <f>$AF101*Table1[[#This Row],[Total%   (30-34)]]</f>
        <v>0</v>
      </c>
      <c r="DX101" s="1">
        <f>$CT101*Table1[[#This Row],[Female%   (30-34)]]</f>
        <v>0</v>
      </c>
      <c r="DY101" s="1">
        <f>$CU101*Table1[[#This Row],[Male%  (30-34)]]</f>
        <v>0</v>
      </c>
      <c r="DZ101" s="1">
        <f>$AF101*Table1[[#This Row],[Total% (35-39)]]</f>
        <v>0</v>
      </c>
      <c r="EA101" s="1">
        <f>$CT101*Table1[[#This Row],[Female% (35-39)]]</f>
        <v>0</v>
      </c>
      <c r="EB101" s="1">
        <f>$CU101*Table1[[#This Row],[Male% (35-39)]]</f>
        <v>0</v>
      </c>
      <c r="EC101" s="1">
        <f>$AF101*Table1[[#This Row],[Total% (40-44)]]</f>
        <v>0</v>
      </c>
      <c r="ED101" s="1">
        <f>$CT101*Table1[[#This Row],[Female% (40-44)]]</f>
        <v>0</v>
      </c>
      <c r="EE101" s="1">
        <f>$CU101*Table1[[#This Row],[Male%(55-59)]]</f>
        <v>0</v>
      </c>
      <c r="EF101" s="1">
        <f>$AF101*Table1[[#This Row],[Total% (45-49)]]</f>
        <v>0</v>
      </c>
      <c r="EG101" s="1">
        <f>$CT101*Table1[[#This Row],[Female% (45-49)]]</f>
        <v>0</v>
      </c>
      <c r="EH101" s="1">
        <f>$CU101*Table1[[#This Row],[Male% (45-49)]]</f>
        <v>0</v>
      </c>
      <c r="EI101" s="1">
        <f>$AF101*Table1[[#This Row],[Total% (50-54)]]</f>
        <v>0</v>
      </c>
      <c r="EJ101" s="1">
        <f>$CT101*Table1[[#This Row],[Female%(50-54)]]</f>
        <v>0</v>
      </c>
      <c r="EK101" s="1">
        <f>$CU101*Table1[[#This Row],[Male% (50-54)]]</f>
        <v>0</v>
      </c>
      <c r="EL101" s="1">
        <f>$AF101*Table1[[#This Row],[Total% (55-59)]]</f>
        <v>0</v>
      </c>
      <c r="EM101" s="1">
        <f>$CT101*Table1[[#This Row],[Female% (55-59)]]</f>
        <v>0</v>
      </c>
      <c r="EN101" s="1">
        <f>$CU101*Table1[[#This Row],[Male% (55-59)]]</f>
        <v>0</v>
      </c>
      <c r="EO101" s="1">
        <f>$AF101*Table1[[#This Row],[Total% (60-64)]]</f>
        <v>0</v>
      </c>
      <c r="EP101" s="1">
        <f>$CT101*Table1[[#This Row],[Female%(60-64)]]</f>
        <v>0</v>
      </c>
      <c r="EQ101" s="1">
        <f>$CU101*Table1[[#This Row],[Male%(60-64)]]</f>
        <v>0</v>
      </c>
      <c r="ER101" s="1">
        <f>$AF101*Table1[[#This Row],[Total% (&gt;=65)]]</f>
        <v>0</v>
      </c>
      <c r="ES101" s="1">
        <f>$CT101*Table1[[#This Row],[Female%(&gt;=65)]]</f>
        <v>0</v>
      </c>
      <c r="ET101" s="1">
        <f>$CU101*Table1[[#This Row],[Male% (&gt;=65)]]</f>
        <v>0</v>
      </c>
    </row>
    <row r="102" spans="1:150" hidden="1" x14ac:dyDescent="0.35">
      <c r="A102" t="s">
        <v>17</v>
      </c>
      <c r="B102" t="s">
        <v>18</v>
      </c>
      <c r="C102" t="s">
        <v>118</v>
      </c>
      <c r="D102" t="s">
        <v>119</v>
      </c>
      <c r="E102" t="s">
        <v>522</v>
      </c>
      <c r="F102" t="s">
        <v>523</v>
      </c>
      <c r="H102">
        <v>2</v>
      </c>
      <c r="I102" s="1">
        <v>7008</v>
      </c>
      <c r="J102" s="1">
        <v>10174</v>
      </c>
      <c r="K102" s="1">
        <v>5426</v>
      </c>
      <c r="L102" s="1">
        <v>0</v>
      </c>
      <c r="M102" s="1">
        <v>0</v>
      </c>
      <c r="N102" s="1">
        <v>5426</v>
      </c>
      <c r="O102" s="3">
        <v>1</v>
      </c>
      <c r="P102" s="3">
        <v>0</v>
      </c>
      <c r="Q102" s="3">
        <v>0</v>
      </c>
      <c r="R102" s="3">
        <v>0</v>
      </c>
      <c r="S102" s="3">
        <v>0</v>
      </c>
      <c r="T102" s="1">
        <v>22608</v>
      </c>
      <c r="U102" s="1">
        <v>0</v>
      </c>
      <c r="V102" s="10">
        <f>Table1[[#This Row],[Pop NW+RATAA]]*Table1[[#This Row],[Perc_pop_Northern_Aleppo]]</f>
        <v>0</v>
      </c>
      <c r="W102" s="10">
        <f>Table1[[#This Row],[Pop NW+RATAA]]*Table1[[#This Row],[Perc_pop_Afrin District]]</f>
        <v>0</v>
      </c>
      <c r="X102" s="10">
        <f>Table1[[#This Row],[Pop NW+RATAA]]*Table1[[#This Row],[Perc_pop_Euphrates Shiled]]</f>
        <v>0</v>
      </c>
      <c r="Y102" s="10">
        <f>Table1[[#This Row],[Pop NW+RATAA]]*Table1[[#This Row],[Perc_Pop_Idleb_NSAG]]</f>
        <v>0</v>
      </c>
      <c r="Z102" s="3">
        <v>0</v>
      </c>
      <c r="AA102" s="3">
        <v>0</v>
      </c>
      <c r="AB102" s="3">
        <v>0</v>
      </c>
      <c r="AC102" s="3">
        <v>0</v>
      </c>
      <c r="AD102" s="1">
        <v>5426</v>
      </c>
      <c r="AE102" s="1">
        <v>0</v>
      </c>
      <c r="AF102" s="1">
        <v>0</v>
      </c>
      <c r="AG102" s="1">
        <v>0</v>
      </c>
      <c r="AH102" s="1">
        <v>0</v>
      </c>
      <c r="AI102" s="1">
        <f>Table1[[#This Row],[NWS_pin]]*Table1[[#This Row],[Perc_pop_Northern_Aleppo]]</f>
        <v>0</v>
      </c>
      <c r="AJ102" s="1">
        <f>Table1[[#This Row],[NWS_pin]]*Table1[[#This Row],[Perc_pop_Afrin District]]</f>
        <v>0</v>
      </c>
      <c r="AK102" s="1">
        <f>Table1[[#This Row],[NWS_pin]]*Table1[[#This Row],[Perc_pop_Euphrates Shiled]]</f>
        <v>0</v>
      </c>
      <c r="AL102" s="1">
        <f>Table1[[#This Row],[NWS_pin]]*Table1[[#This Row],[Perc_Pop_Idleb_NSAG]]</f>
        <v>0</v>
      </c>
      <c r="AM102" s="4">
        <v>0.46419680244107703</v>
      </c>
      <c r="AN102" s="4">
        <v>0.53580319755892303</v>
      </c>
      <c r="AO102" s="4">
        <v>0.147971342383107</v>
      </c>
      <c r="AP102" s="4">
        <v>0.33652880586668898</v>
      </c>
      <c r="AQ102" s="4">
        <v>0.58177227375859497</v>
      </c>
      <c r="AR102" s="4">
        <v>1.9855989062241799E-2</v>
      </c>
      <c r="AS102" s="4">
        <v>3.5187593049870402E-3</v>
      </c>
      <c r="AT102" s="4">
        <v>5.8324172007487199E-2</v>
      </c>
      <c r="AU102" s="4">
        <v>6.0572068872382402E-2</v>
      </c>
      <c r="AV102" s="4">
        <v>2.12899414369618E-2</v>
      </c>
      <c r="AW102" s="4">
        <v>9.4604411403522007E-2</v>
      </c>
      <c r="AX102" s="4">
        <v>6.7983664992325402E-2</v>
      </c>
      <c r="AY102" s="4">
        <v>7.66710793166131E-2</v>
      </c>
      <c r="AZ102" s="4">
        <v>6.0457263565107902E-2</v>
      </c>
      <c r="BA102" s="4">
        <v>7.3380280342073001E-2</v>
      </c>
      <c r="BB102" s="4">
        <v>2.9312090851019799E-2</v>
      </c>
      <c r="BC102" s="4">
        <v>0.111559060805332</v>
      </c>
      <c r="BD102" s="4">
        <v>6.10852485777909E-2</v>
      </c>
      <c r="BE102" s="4">
        <v>4.2080013800503198E-2</v>
      </c>
      <c r="BF102" s="4">
        <v>7.7550565047442399E-2</v>
      </c>
      <c r="BG102" s="4">
        <v>5.4001951504178997E-2</v>
      </c>
      <c r="BH102" s="4">
        <v>3.9029176598433399E-2</v>
      </c>
      <c r="BI102" s="4">
        <v>6.6973718501058002E-2</v>
      </c>
      <c r="BJ102" s="4">
        <v>6.0442855150300401E-2</v>
      </c>
      <c r="BK102" s="4">
        <v>5.8901330878435E-2</v>
      </c>
      <c r="BL102" s="4">
        <v>6.1778365354691403E-2</v>
      </c>
      <c r="BM102" s="4">
        <v>1.8238739948553399E-2</v>
      </c>
      <c r="BN102" s="4">
        <v>2.1487030106096799E-2</v>
      </c>
      <c r="BO102" s="4">
        <v>1.54245613258761E-2</v>
      </c>
      <c r="BP102" s="4">
        <v>2.1201154547461801E-2</v>
      </c>
      <c r="BQ102" s="4">
        <v>2.7700807235689101E-2</v>
      </c>
      <c r="BR102" s="4">
        <v>1.5570135530407699E-2</v>
      </c>
      <c r="BS102" s="4">
        <v>0.163071689083231</v>
      </c>
      <c r="BT102" s="4">
        <v>0.233790573722885</v>
      </c>
      <c r="BU102" s="4">
        <v>0.101803894729845</v>
      </c>
      <c r="BV102" s="4">
        <v>9.9063362710701902E-2</v>
      </c>
      <c r="BW102" s="4">
        <v>0.117565450399641</v>
      </c>
      <c r="BX102" s="4">
        <v>8.3033951197633293E-2</v>
      </c>
      <c r="BY102" s="4">
        <v>8.3109448387156795E-2</v>
      </c>
      <c r="BZ102" s="4">
        <v>7.2654909867180401E-2</v>
      </c>
      <c r="CA102" s="4">
        <v>9.2166810071595801E-2</v>
      </c>
      <c r="CB102" s="4">
        <v>4.5636434818265202E-2</v>
      </c>
      <c r="CC102" s="4">
        <v>4.7373475681357302E-2</v>
      </c>
      <c r="CD102" s="4">
        <v>4.4131537464105301E-2</v>
      </c>
      <c r="CE102" s="4">
        <v>5.01437679871682E-2</v>
      </c>
      <c r="CF102" s="4">
        <v>4.5255644602605297E-2</v>
      </c>
      <c r="CG102" s="4">
        <v>5.4378627456818901E-2</v>
      </c>
      <c r="CH102" s="4">
        <v>2.6934838331042502E-2</v>
      </c>
      <c r="CI102" s="4">
        <v>3.0101712256995601E-2</v>
      </c>
      <c r="CJ102" s="4">
        <v>2.4191195223164701E-2</v>
      </c>
      <c r="CK102" s="4">
        <v>3.2592047530134498E-2</v>
      </c>
      <c r="CL102" s="4">
        <v>2.88723876529705E-2</v>
      </c>
      <c r="CM102" s="4">
        <v>3.5814600566425499E-2</v>
      </c>
      <c r="CN102" s="4">
        <v>2.62908929991135E-2</v>
      </c>
      <c r="CO102" s="4">
        <v>4.7407882052439697E-2</v>
      </c>
      <c r="CP102" s="4">
        <v>7.9960436208410292E-3</v>
      </c>
      <c r="CQ102" s="4">
        <v>5.6251554218120399E-2</v>
      </c>
      <c r="CR102" s="4">
        <v>6.0506493540173401E-2</v>
      </c>
      <c r="CS102" s="4">
        <v>5.25652581361329E-2</v>
      </c>
      <c r="CT102" s="1">
        <f>Table1[[#This Row],[Female %]]*Table1[[#This Row],[NWS_pin]]</f>
        <v>0</v>
      </c>
      <c r="CU102" s="1">
        <f>Table1[[#This Row],[Male %]]*Table1[[#This Row],[NWS_pin]]</f>
        <v>0</v>
      </c>
      <c r="CV102" s="1">
        <f>Table1[[#This Row],[Female% (0-2)22]]+Table1[[#This Row],[Male%(0-2)3]]</f>
        <v>0</v>
      </c>
      <c r="CW102" s="1">
        <f>$CT102*Table1[[#This Row],[Female% (0-2)]]</f>
        <v>0</v>
      </c>
      <c r="CX102" s="1">
        <f>$CU102*Table1[[#This Row],[Male%(0-2)]]</f>
        <v>0</v>
      </c>
      <c r="CY102" s="1">
        <f>Table1[[#This Row],[Female%  (3-5)5]]+Table1[[#This Row],[Male% (3-5)6]]</f>
        <v>0</v>
      </c>
      <c r="CZ102" s="1">
        <f>$AF102*Table1[[#This Row],[Female%  (3-5)]]</f>
        <v>0</v>
      </c>
      <c r="DA102" s="1">
        <f>$CU102*Table1[[#This Row],[Male% (3-5)]]</f>
        <v>0</v>
      </c>
      <c r="DB102" s="1">
        <f>Table1[[#This Row],[Female% (6-8)8]]+Table1[[#This Row],[Male%(6-8)9]]</f>
        <v>0</v>
      </c>
      <c r="DC102" s="1">
        <f>$CT102*Table1[[#This Row],[Female% (6-8)]]</f>
        <v>0</v>
      </c>
      <c r="DD102" s="1">
        <f>$CU102*Table1[[#This Row],[Male%(6-8)]]</f>
        <v>0</v>
      </c>
      <c r="DE102" s="1">
        <f>Table1[[#This Row],[Female% (9 - 11)11]]+Table1[[#This Row],[Male% (9 - 11)12]]</f>
        <v>0</v>
      </c>
      <c r="DF102" s="1">
        <f>$CT102*Table1[[#This Row],[Female% (9 - 11)]]</f>
        <v>0</v>
      </c>
      <c r="DG102" s="1">
        <f>$CU102*Table1[[#This Row],[Male% (9 - 11)]]</f>
        <v>0</v>
      </c>
      <c r="DH102" s="1">
        <f>Table1[[#This Row],[Female% (12-14)14]]+Table1[[#This Row],[Male%(12-14)15]]</f>
        <v>0</v>
      </c>
      <c r="DI102" s="1">
        <f>$CT102*Table1[[#This Row],[Female% (12-14)]]</f>
        <v>0</v>
      </c>
      <c r="DJ102" s="1">
        <f>$CU102*Table1[[#This Row],[Male%(12-14)]]</f>
        <v>0</v>
      </c>
      <c r="DK102" s="1">
        <f>Table1[[#This Row],[Female% (15-17)17]]+Table1[[#This Row],[Male%(15-17)18]]</f>
        <v>0</v>
      </c>
      <c r="DL102" s="1">
        <f>$CT102*Table1[[#This Row],[Female% (15-17)]]</f>
        <v>0</v>
      </c>
      <c r="DM102" s="1">
        <f>$CU102*Table1[[#This Row],[Male%(15-17)]]</f>
        <v>0</v>
      </c>
      <c r="DN102" s="1">
        <f>$AF102*Table1[[#This Row],[Total% (18-19)]]</f>
        <v>0</v>
      </c>
      <c r="DO102" s="1">
        <f>$CT102*Table1[[#This Row],[Female% (18-19)]]</f>
        <v>0</v>
      </c>
      <c r="DP102" s="1">
        <f>$CU102*Table1[[#This Row],[Male%(18-19)]]</f>
        <v>0</v>
      </c>
      <c r="DQ102" s="1">
        <f>$AF102*Table1[[#This Row],[Total% (20-24)]]</f>
        <v>0</v>
      </c>
      <c r="DR102" s="1">
        <f>$CT102*Table1[[#This Row],[Female% (20-24)]]</f>
        <v>0</v>
      </c>
      <c r="DS102" s="1">
        <f>$CU102*Table1[[#This Row],[Male% (20-24)]]</f>
        <v>0</v>
      </c>
      <c r="DT102" s="1">
        <f>$AF102*Table1[[#This Row],[Total% (25-29)]]</f>
        <v>0</v>
      </c>
      <c r="DU102" s="1">
        <f>$CT102*Table1[[#This Row],[Female% (25-29)]]</f>
        <v>0</v>
      </c>
      <c r="DV102" s="1">
        <f>$CU102*Table1[[#This Row],[Male% (25-29)]]</f>
        <v>0</v>
      </c>
      <c r="DW102" s="1">
        <f>$AF102*Table1[[#This Row],[Total%   (30-34)]]</f>
        <v>0</v>
      </c>
      <c r="DX102" s="1">
        <f>$CT102*Table1[[#This Row],[Female%   (30-34)]]</f>
        <v>0</v>
      </c>
      <c r="DY102" s="1">
        <f>$CU102*Table1[[#This Row],[Male%  (30-34)]]</f>
        <v>0</v>
      </c>
      <c r="DZ102" s="1">
        <f>$AF102*Table1[[#This Row],[Total% (35-39)]]</f>
        <v>0</v>
      </c>
      <c r="EA102" s="1">
        <f>$CT102*Table1[[#This Row],[Female% (35-39)]]</f>
        <v>0</v>
      </c>
      <c r="EB102" s="1">
        <f>$CU102*Table1[[#This Row],[Male% (35-39)]]</f>
        <v>0</v>
      </c>
      <c r="EC102" s="1">
        <f>$AF102*Table1[[#This Row],[Total% (40-44)]]</f>
        <v>0</v>
      </c>
      <c r="ED102" s="1">
        <f>$CT102*Table1[[#This Row],[Female% (40-44)]]</f>
        <v>0</v>
      </c>
      <c r="EE102" s="1">
        <f>$CU102*Table1[[#This Row],[Male%(55-59)]]</f>
        <v>0</v>
      </c>
      <c r="EF102" s="1">
        <f>$AF102*Table1[[#This Row],[Total% (45-49)]]</f>
        <v>0</v>
      </c>
      <c r="EG102" s="1">
        <f>$CT102*Table1[[#This Row],[Female% (45-49)]]</f>
        <v>0</v>
      </c>
      <c r="EH102" s="1">
        <f>$CU102*Table1[[#This Row],[Male% (45-49)]]</f>
        <v>0</v>
      </c>
      <c r="EI102" s="1">
        <f>$AF102*Table1[[#This Row],[Total% (50-54)]]</f>
        <v>0</v>
      </c>
      <c r="EJ102" s="1">
        <f>$CT102*Table1[[#This Row],[Female%(50-54)]]</f>
        <v>0</v>
      </c>
      <c r="EK102" s="1">
        <f>$CU102*Table1[[#This Row],[Male% (50-54)]]</f>
        <v>0</v>
      </c>
      <c r="EL102" s="1">
        <f>$AF102*Table1[[#This Row],[Total% (55-59)]]</f>
        <v>0</v>
      </c>
      <c r="EM102" s="1">
        <f>$CT102*Table1[[#This Row],[Female% (55-59)]]</f>
        <v>0</v>
      </c>
      <c r="EN102" s="1">
        <f>$CU102*Table1[[#This Row],[Male% (55-59)]]</f>
        <v>0</v>
      </c>
      <c r="EO102" s="1">
        <f>$AF102*Table1[[#This Row],[Total% (60-64)]]</f>
        <v>0</v>
      </c>
      <c r="EP102" s="1">
        <f>$CT102*Table1[[#This Row],[Female%(60-64)]]</f>
        <v>0</v>
      </c>
      <c r="EQ102" s="1">
        <f>$CU102*Table1[[#This Row],[Male%(60-64)]]</f>
        <v>0</v>
      </c>
      <c r="ER102" s="1">
        <f>$AF102*Table1[[#This Row],[Total% (&gt;=65)]]</f>
        <v>0</v>
      </c>
      <c r="ES102" s="1">
        <f>$CT102*Table1[[#This Row],[Female%(&gt;=65)]]</f>
        <v>0</v>
      </c>
      <c r="ET102" s="1">
        <f>$CU102*Table1[[#This Row],[Male% (&gt;=65)]]</f>
        <v>0</v>
      </c>
    </row>
    <row r="103" spans="1:150" hidden="1" x14ac:dyDescent="0.35">
      <c r="A103" t="s">
        <v>168</v>
      </c>
      <c r="B103" t="s">
        <v>169</v>
      </c>
      <c r="C103" t="s">
        <v>168</v>
      </c>
      <c r="D103" t="s">
        <v>170</v>
      </c>
      <c r="E103" t="s">
        <v>168</v>
      </c>
      <c r="F103" t="s">
        <v>322</v>
      </c>
      <c r="H103">
        <v>3</v>
      </c>
      <c r="I103" s="1">
        <v>0</v>
      </c>
      <c r="J103" s="1">
        <v>232645</v>
      </c>
      <c r="K103" s="1">
        <v>517821</v>
      </c>
      <c r="L103" s="1">
        <v>0</v>
      </c>
      <c r="M103" s="1">
        <v>0</v>
      </c>
      <c r="N103" s="1">
        <v>517821</v>
      </c>
      <c r="O103" s="3">
        <v>1</v>
      </c>
      <c r="P103" s="3">
        <v>0</v>
      </c>
      <c r="Q103" s="3">
        <v>0</v>
      </c>
      <c r="R103" s="3">
        <v>0</v>
      </c>
      <c r="S103" s="3">
        <v>0</v>
      </c>
      <c r="T103" s="1">
        <v>750466</v>
      </c>
      <c r="U103" s="1">
        <v>0</v>
      </c>
      <c r="V103" s="10">
        <f>Table1[[#This Row],[Pop NW+RATAA]]*Table1[[#This Row],[Perc_pop_Northern_Aleppo]]</f>
        <v>0</v>
      </c>
      <c r="W103" s="10">
        <f>Table1[[#This Row],[Pop NW+RATAA]]*Table1[[#This Row],[Perc_pop_Afrin District]]</f>
        <v>0</v>
      </c>
      <c r="X103" s="10">
        <f>Table1[[#This Row],[Pop NW+RATAA]]*Table1[[#This Row],[Perc_pop_Euphrates Shiled]]</f>
        <v>0</v>
      </c>
      <c r="Y103" s="10">
        <f>Table1[[#This Row],[Pop NW+RATAA]]*Table1[[#This Row],[Perc_Pop_Idleb_NSAG]]</f>
        <v>0</v>
      </c>
      <c r="Z103" s="3">
        <v>0</v>
      </c>
      <c r="AA103" s="3">
        <v>0</v>
      </c>
      <c r="AB103" s="3">
        <v>0</v>
      </c>
      <c r="AC103" s="3">
        <v>0</v>
      </c>
      <c r="AD103" s="1">
        <v>517821</v>
      </c>
      <c r="AE103" s="1">
        <v>0</v>
      </c>
      <c r="AF103" s="1">
        <v>0</v>
      </c>
      <c r="AG103" s="1">
        <v>0</v>
      </c>
      <c r="AH103" s="1">
        <v>0</v>
      </c>
      <c r="AI103" s="1">
        <f>Table1[[#This Row],[NWS_pin]]*Table1[[#This Row],[Perc_pop_Northern_Aleppo]]</f>
        <v>0</v>
      </c>
      <c r="AJ103" s="1">
        <f>Table1[[#This Row],[NWS_pin]]*Table1[[#This Row],[Perc_pop_Afrin District]]</f>
        <v>0</v>
      </c>
      <c r="AK103" s="1">
        <f>Table1[[#This Row],[NWS_pin]]*Table1[[#This Row],[Perc_pop_Euphrates Shiled]]</f>
        <v>0</v>
      </c>
      <c r="AL103" s="1">
        <f>Table1[[#This Row],[NWS_pin]]*Table1[[#This Row],[Perc_Pop_Idleb_NSAG]]</f>
        <v>0</v>
      </c>
      <c r="AM103" s="4">
        <v>0.49609679119042199</v>
      </c>
      <c r="AN103" s="4">
        <v>0.50390320880957795</v>
      </c>
      <c r="AO103" s="4">
        <v>0.12783432514572701</v>
      </c>
      <c r="AP103" s="4">
        <v>0.50747658933714401</v>
      </c>
      <c r="AQ103" s="4">
        <v>0.44327562577395502</v>
      </c>
      <c r="AR103" s="4">
        <v>6.5506843571001396E-3</v>
      </c>
      <c r="AS103" s="4">
        <v>0</v>
      </c>
      <c r="AT103" s="4">
        <v>4.26971005318008E-2</v>
      </c>
      <c r="AU103" s="4">
        <v>2.1706798071837299E-2</v>
      </c>
      <c r="AV103" s="4">
        <v>1.7075167790214198E-2</v>
      </c>
      <c r="AW103" s="4">
        <v>2.6266675604909299E-2</v>
      </c>
      <c r="AX103" s="4">
        <v>6.6975395769353893E-2</v>
      </c>
      <c r="AY103" s="4">
        <v>5.6028774725506603E-2</v>
      </c>
      <c r="AZ103" s="4">
        <v>7.7752432865544202E-2</v>
      </c>
      <c r="BA103" s="4">
        <v>6.1995326353383902E-2</v>
      </c>
      <c r="BB103" s="4">
        <v>3.8807171184345401E-2</v>
      </c>
      <c r="BC103" s="4">
        <v>8.4824252964432204E-2</v>
      </c>
      <c r="BD103" s="4">
        <v>8.1112066589255793E-2</v>
      </c>
      <c r="BE103" s="4">
        <v>0.10067688902369799</v>
      </c>
      <c r="BF103" s="4">
        <v>6.1850340408017797E-2</v>
      </c>
      <c r="BG103" s="4">
        <v>0.10086870706527799</v>
      </c>
      <c r="BH103" s="4">
        <v>7.9497751767184405E-2</v>
      </c>
      <c r="BI103" s="4">
        <v>0.121908585682254</v>
      </c>
      <c r="BJ103" s="4">
        <v>9.1058898902559707E-2</v>
      </c>
      <c r="BK103" s="4">
        <v>0.108391616081857</v>
      </c>
      <c r="BL103" s="4">
        <v>7.3994698427285704E-2</v>
      </c>
      <c r="BM103" s="4">
        <v>6.1780903077610499E-2</v>
      </c>
      <c r="BN103" s="4">
        <v>6.6749802327495805E-2</v>
      </c>
      <c r="BO103" s="4">
        <v>5.68889815130703E-2</v>
      </c>
      <c r="BP103" s="4">
        <v>7.7391879114841994E-2</v>
      </c>
      <c r="BQ103" s="4">
        <v>7.3728838500461802E-2</v>
      </c>
      <c r="BR103" s="4">
        <v>8.0998172273973199E-2</v>
      </c>
      <c r="BS103" s="4">
        <v>3.5571140609312303E-2</v>
      </c>
      <c r="BT103" s="4">
        <v>4.6473933762653602E-2</v>
      </c>
      <c r="BU103" s="4">
        <v>2.48372524263747E-2</v>
      </c>
      <c r="BV103" s="4">
        <v>3.8116831927820297E-2</v>
      </c>
      <c r="BW103" s="4">
        <v>4.2139892042305199E-2</v>
      </c>
      <c r="BX103" s="4">
        <v>3.4156096654319901E-2</v>
      </c>
      <c r="BY103" s="4">
        <v>6.9841708204260194E-2</v>
      </c>
      <c r="BZ103" s="4">
        <v>0.102856034353956</v>
      </c>
      <c r="CA103" s="4">
        <v>3.73388366609924E-2</v>
      </c>
      <c r="CB103" s="4">
        <v>8.7498097540706199E-2</v>
      </c>
      <c r="CC103" s="4">
        <v>0.104187197606304</v>
      </c>
      <c r="CD103" s="4">
        <v>7.1067543327808694E-2</v>
      </c>
      <c r="CE103" s="4">
        <v>8.6213764183835598E-2</v>
      </c>
      <c r="CF103" s="4">
        <v>8.49452323606633E-2</v>
      </c>
      <c r="CG103" s="4">
        <v>8.7462644040118706E-2</v>
      </c>
      <c r="CH103" s="4">
        <v>6.2434766227166302E-2</v>
      </c>
      <c r="CI103" s="4">
        <v>3.7016985643099999E-2</v>
      </c>
      <c r="CJ103" s="4">
        <v>8.7458777121493997E-2</v>
      </c>
      <c r="CK103" s="4">
        <v>3.3251988303006498E-2</v>
      </c>
      <c r="CL103" s="4">
        <v>7.7231540930716496E-3</v>
      </c>
      <c r="CM103" s="4">
        <v>5.8385332391646602E-2</v>
      </c>
      <c r="CN103" s="4">
        <v>7.0614759545795701E-3</v>
      </c>
      <c r="CO103" s="4">
        <v>2.6670024180256201E-3</v>
      </c>
      <c r="CP103" s="4">
        <v>1.13878707509252E-2</v>
      </c>
      <c r="CQ103" s="4">
        <v>1.7120252105192101E-2</v>
      </c>
      <c r="CR103" s="4">
        <v>3.1034556319157601E-2</v>
      </c>
      <c r="CS103" s="4">
        <v>3.4215068868337401E-3</v>
      </c>
      <c r="CT103" s="1">
        <f>Table1[[#This Row],[Female %]]*Table1[[#This Row],[NWS_pin]]</f>
        <v>0</v>
      </c>
      <c r="CU103" s="1">
        <f>Table1[[#This Row],[Male %]]*Table1[[#This Row],[NWS_pin]]</f>
        <v>0</v>
      </c>
      <c r="CV103" s="1">
        <f>Table1[[#This Row],[Female% (0-2)22]]+Table1[[#This Row],[Male%(0-2)3]]</f>
        <v>0</v>
      </c>
      <c r="CW103" s="1">
        <f>$CT103*Table1[[#This Row],[Female% (0-2)]]</f>
        <v>0</v>
      </c>
      <c r="CX103" s="1">
        <f>$CU103*Table1[[#This Row],[Male%(0-2)]]</f>
        <v>0</v>
      </c>
      <c r="CY103" s="1">
        <f>Table1[[#This Row],[Female%  (3-5)5]]+Table1[[#This Row],[Male% (3-5)6]]</f>
        <v>0</v>
      </c>
      <c r="CZ103" s="1">
        <f>$AF103*Table1[[#This Row],[Female%  (3-5)]]</f>
        <v>0</v>
      </c>
      <c r="DA103" s="1">
        <f>$CU103*Table1[[#This Row],[Male% (3-5)]]</f>
        <v>0</v>
      </c>
      <c r="DB103" s="1">
        <f>Table1[[#This Row],[Female% (6-8)8]]+Table1[[#This Row],[Male%(6-8)9]]</f>
        <v>0</v>
      </c>
      <c r="DC103" s="1">
        <f>$CT103*Table1[[#This Row],[Female% (6-8)]]</f>
        <v>0</v>
      </c>
      <c r="DD103" s="1">
        <f>$CU103*Table1[[#This Row],[Male%(6-8)]]</f>
        <v>0</v>
      </c>
      <c r="DE103" s="1">
        <f>Table1[[#This Row],[Female% (9 - 11)11]]+Table1[[#This Row],[Male% (9 - 11)12]]</f>
        <v>0</v>
      </c>
      <c r="DF103" s="1">
        <f>$CT103*Table1[[#This Row],[Female% (9 - 11)]]</f>
        <v>0</v>
      </c>
      <c r="DG103" s="1">
        <f>$CU103*Table1[[#This Row],[Male% (9 - 11)]]</f>
        <v>0</v>
      </c>
      <c r="DH103" s="1">
        <f>Table1[[#This Row],[Female% (12-14)14]]+Table1[[#This Row],[Male%(12-14)15]]</f>
        <v>0</v>
      </c>
      <c r="DI103" s="1">
        <f>$CT103*Table1[[#This Row],[Female% (12-14)]]</f>
        <v>0</v>
      </c>
      <c r="DJ103" s="1">
        <f>$CU103*Table1[[#This Row],[Male%(12-14)]]</f>
        <v>0</v>
      </c>
      <c r="DK103" s="1">
        <f>Table1[[#This Row],[Female% (15-17)17]]+Table1[[#This Row],[Male%(15-17)18]]</f>
        <v>0</v>
      </c>
      <c r="DL103" s="1">
        <f>$CT103*Table1[[#This Row],[Female% (15-17)]]</f>
        <v>0</v>
      </c>
      <c r="DM103" s="1">
        <f>$CU103*Table1[[#This Row],[Male%(15-17)]]</f>
        <v>0</v>
      </c>
      <c r="DN103" s="1">
        <f>$AF103*Table1[[#This Row],[Total% (18-19)]]</f>
        <v>0</v>
      </c>
      <c r="DO103" s="1">
        <f>$CT103*Table1[[#This Row],[Female% (18-19)]]</f>
        <v>0</v>
      </c>
      <c r="DP103" s="1">
        <f>$CU103*Table1[[#This Row],[Male%(18-19)]]</f>
        <v>0</v>
      </c>
      <c r="DQ103" s="1">
        <f>$AF103*Table1[[#This Row],[Total% (20-24)]]</f>
        <v>0</v>
      </c>
      <c r="DR103" s="1">
        <f>$CT103*Table1[[#This Row],[Female% (20-24)]]</f>
        <v>0</v>
      </c>
      <c r="DS103" s="1">
        <f>$CU103*Table1[[#This Row],[Male% (20-24)]]</f>
        <v>0</v>
      </c>
      <c r="DT103" s="1">
        <f>$AF103*Table1[[#This Row],[Total% (25-29)]]</f>
        <v>0</v>
      </c>
      <c r="DU103" s="1">
        <f>$CT103*Table1[[#This Row],[Female% (25-29)]]</f>
        <v>0</v>
      </c>
      <c r="DV103" s="1">
        <f>$CU103*Table1[[#This Row],[Male% (25-29)]]</f>
        <v>0</v>
      </c>
      <c r="DW103" s="1">
        <f>$AF103*Table1[[#This Row],[Total%   (30-34)]]</f>
        <v>0</v>
      </c>
      <c r="DX103" s="1">
        <f>$CT103*Table1[[#This Row],[Female%   (30-34)]]</f>
        <v>0</v>
      </c>
      <c r="DY103" s="1">
        <f>$CU103*Table1[[#This Row],[Male%  (30-34)]]</f>
        <v>0</v>
      </c>
      <c r="DZ103" s="1">
        <f>$AF103*Table1[[#This Row],[Total% (35-39)]]</f>
        <v>0</v>
      </c>
      <c r="EA103" s="1">
        <f>$CT103*Table1[[#This Row],[Female% (35-39)]]</f>
        <v>0</v>
      </c>
      <c r="EB103" s="1">
        <f>$CU103*Table1[[#This Row],[Male% (35-39)]]</f>
        <v>0</v>
      </c>
      <c r="EC103" s="1">
        <f>$AF103*Table1[[#This Row],[Total% (40-44)]]</f>
        <v>0</v>
      </c>
      <c r="ED103" s="1">
        <f>$CT103*Table1[[#This Row],[Female% (40-44)]]</f>
        <v>0</v>
      </c>
      <c r="EE103" s="1">
        <f>$CU103*Table1[[#This Row],[Male%(55-59)]]</f>
        <v>0</v>
      </c>
      <c r="EF103" s="1">
        <f>$AF103*Table1[[#This Row],[Total% (45-49)]]</f>
        <v>0</v>
      </c>
      <c r="EG103" s="1">
        <f>$CT103*Table1[[#This Row],[Female% (45-49)]]</f>
        <v>0</v>
      </c>
      <c r="EH103" s="1">
        <f>$CU103*Table1[[#This Row],[Male% (45-49)]]</f>
        <v>0</v>
      </c>
      <c r="EI103" s="1">
        <f>$AF103*Table1[[#This Row],[Total% (50-54)]]</f>
        <v>0</v>
      </c>
      <c r="EJ103" s="1">
        <f>$CT103*Table1[[#This Row],[Female%(50-54)]]</f>
        <v>0</v>
      </c>
      <c r="EK103" s="1">
        <f>$CU103*Table1[[#This Row],[Male% (50-54)]]</f>
        <v>0</v>
      </c>
      <c r="EL103" s="1">
        <f>$AF103*Table1[[#This Row],[Total% (55-59)]]</f>
        <v>0</v>
      </c>
      <c r="EM103" s="1">
        <f>$CT103*Table1[[#This Row],[Female% (55-59)]]</f>
        <v>0</v>
      </c>
      <c r="EN103" s="1">
        <f>$CU103*Table1[[#This Row],[Male% (55-59)]]</f>
        <v>0</v>
      </c>
      <c r="EO103" s="1">
        <f>$AF103*Table1[[#This Row],[Total% (60-64)]]</f>
        <v>0</v>
      </c>
      <c r="EP103" s="1">
        <f>$CT103*Table1[[#This Row],[Female%(60-64)]]</f>
        <v>0</v>
      </c>
      <c r="EQ103" s="1">
        <f>$CU103*Table1[[#This Row],[Male%(60-64)]]</f>
        <v>0</v>
      </c>
      <c r="ER103" s="1">
        <f>$AF103*Table1[[#This Row],[Total% (&gt;=65)]]</f>
        <v>0</v>
      </c>
      <c r="ES103" s="1">
        <f>$CT103*Table1[[#This Row],[Female%(&gt;=65)]]</f>
        <v>0</v>
      </c>
      <c r="ET103" s="1">
        <f>$CU103*Table1[[#This Row],[Male% (&gt;=65)]]</f>
        <v>0</v>
      </c>
    </row>
    <row r="104" spans="1:150" hidden="1" x14ac:dyDescent="0.35">
      <c r="A104" t="s">
        <v>168</v>
      </c>
      <c r="B104" t="s">
        <v>169</v>
      </c>
      <c r="C104" t="s">
        <v>168</v>
      </c>
      <c r="D104" t="s">
        <v>170</v>
      </c>
      <c r="E104" t="s">
        <v>436</v>
      </c>
      <c r="F104" t="s">
        <v>437</v>
      </c>
      <c r="H104">
        <v>3</v>
      </c>
      <c r="I104" s="1">
        <v>0</v>
      </c>
      <c r="J104" s="1">
        <v>1826</v>
      </c>
      <c r="K104" s="1">
        <v>29291</v>
      </c>
      <c r="L104" s="1">
        <v>920</v>
      </c>
      <c r="M104" s="1">
        <v>0</v>
      </c>
      <c r="N104" s="1">
        <v>30211</v>
      </c>
      <c r="O104" s="3">
        <v>1</v>
      </c>
      <c r="P104" s="3">
        <v>0</v>
      </c>
      <c r="Q104" s="3">
        <v>0</v>
      </c>
      <c r="R104" s="3">
        <v>0</v>
      </c>
      <c r="S104" s="3">
        <v>0</v>
      </c>
      <c r="T104" s="1">
        <v>32037</v>
      </c>
      <c r="U104" s="1">
        <v>0</v>
      </c>
      <c r="V104" s="10">
        <f>Table1[[#This Row],[Pop NW+RATAA]]*Table1[[#This Row],[Perc_pop_Northern_Aleppo]]</f>
        <v>0</v>
      </c>
      <c r="W104" s="10">
        <f>Table1[[#This Row],[Pop NW+RATAA]]*Table1[[#This Row],[Perc_pop_Afrin District]]</f>
        <v>0</v>
      </c>
      <c r="X104" s="10">
        <f>Table1[[#This Row],[Pop NW+RATAA]]*Table1[[#This Row],[Perc_pop_Euphrates Shiled]]</f>
        <v>0</v>
      </c>
      <c r="Y104" s="10">
        <f>Table1[[#This Row],[Pop NW+RATAA]]*Table1[[#This Row],[Perc_Pop_Idleb_NSAG]]</f>
        <v>0</v>
      </c>
      <c r="Z104" s="3">
        <v>0</v>
      </c>
      <c r="AA104" s="3">
        <v>0</v>
      </c>
      <c r="AB104" s="3">
        <v>0</v>
      </c>
      <c r="AC104" s="3">
        <v>0</v>
      </c>
      <c r="AD104" s="1">
        <v>30211</v>
      </c>
      <c r="AE104" s="1">
        <v>0</v>
      </c>
      <c r="AF104" s="1">
        <v>0</v>
      </c>
      <c r="AG104" s="1">
        <v>0</v>
      </c>
      <c r="AH104" s="1">
        <v>0</v>
      </c>
      <c r="AI104" s="1">
        <f>Table1[[#This Row],[NWS_pin]]*Table1[[#This Row],[Perc_pop_Northern_Aleppo]]</f>
        <v>0</v>
      </c>
      <c r="AJ104" s="1">
        <f>Table1[[#This Row],[NWS_pin]]*Table1[[#This Row],[Perc_pop_Afrin District]]</f>
        <v>0</v>
      </c>
      <c r="AK104" s="1">
        <f>Table1[[#This Row],[NWS_pin]]*Table1[[#This Row],[Perc_pop_Euphrates Shiled]]</f>
        <v>0</v>
      </c>
      <c r="AL104" s="1">
        <f>Table1[[#This Row],[NWS_pin]]*Table1[[#This Row],[Perc_Pop_Idleb_NSAG]]</f>
        <v>0</v>
      </c>
      <c r="AM104" s="4">
        <v>0.52731543630833599</v>
      </c>
      <c r="AN104" s="4">
        <v>0.47268456369166401</v>
      </c>
      <c r="AO104" s="4">
        <v>0.12102784138572099</v>
      </c>
      <c r="AP104" s="4">
        <v>0.385353980526082</v>
      </c>
      <c r="AQ104" s="4">
        <v>0.548211081999327</v>
      </c>
      <c r="AR104" s="4">
        <v>1.6262969695739201E-2</v>
      </c>
      <c r="AS104" s="4">
        <v>0</v>
      </c>
      <c r="AT104" s="4">
        <v>5.0171967778851197E-2</v>
      </c>
      <c r="AU104" s="4">
        <v>9.3973880112797004E-2</v>
      </c>
      <c r="AV104" s="4">
        <v>7.6043028657200806E-2</v>
      </c>
      <c r="AW104" s="4">
        <v>0.113977103160409</v>
      </c>
      <c r="AX104" s="4">
        <v>0.127497347730127</v>
      </c>
      <c r="AY104" s="4">
        <v>0.114298632217808</v>
      </c>
      <c r="AZ104" s="4">
        <v>0.142221514677174</v>
      </c>
      <c r="BA104" s="4">
        <v>0.10440358777495801</v>
      </c>
      <c r="BB104" s="4">
        <v>0.11821679873052</v>
      </c>
      <c r="BC104" s="4">
        <v>8.8993904613392905E-2</v>
      </c>
      <c r="BD104" s="4">
        <v>7.3441385045118907E-2</v>
      </c>
      <c r="BE104" s="4">
        <v>5.68916054309727E-2</v>
      </c>
      <c r="BF104" s="4">
        <v>9.1903917838411106E-2</v>
      </c>
      <c r="BG104" s="4">
        <v>5.9227492125517797E-2</v>
      </c>
      <c r="BH104" s="4">
        <v>4.7426992759218502E-2</v>
      </c>
      <c r="BI104" s="4">
        <v>7.23918430478286E-2</v>
      </c>
      <c r="BJ104" s="4">
        <v>5.0529377787185699E-2</v>
      </c>
      <c r="BK104" s="4">
        <v>4.2063894998228102E-2</v>
      </c>
      <c r="BL104" s="4">
        <v>5.9973265092403097E-2</v>
      </c>
      <c r="BM104" s="4">
        <v>1.7395121093230499E-2</v>
      </c>
      <c r="BN104" s="4">
        <v>2.3490541849838301E-2</v>
      </c>
      <c r="BO104" s="4">
        <v>1.05952175155665E-2</v>
      </c>
      <c r="BP104" s="4">
        <v>6.13789424214293E-2</v>
      </c>
      <c r="BQ104" s="4">
        <v>0.100118595122256</v>
      </c>
      <c r="BR104" s="4">
        <v>1.81619253332738E-2</v>
      </c>
      <c r="BS104" s="4">
        <v>4.9108252309389901E-2</v>
      </c>
      <c r="BT104" s="4">
        <v>4.9174053588555797E-2</v>
      </c>
      <c r="BU104" s="4">
        <v>4.9034845998081701E-2</v>
      </c>
      <c r="BV104" s="4">
        <v>0.10276996761879501</v>
      </c>
      <c r="BW104" s="4">
        <v>0.138808571975885</v>
      </c>
      <c r="BX104" s="4">
        <v>6.2566174560516705E-2</v>
      </c>
      <c r="BY104" s="4">
        <v>8.8000900683359806E-2</v>
      </c>
      <c r="BZ104" s="4">
        <v>7.4265511750377294E-2</v>
      </c>
      <c r="CA104" s="4">
        <v>0.103323767483776</v>
      </c>
      <c r="CB104" s="4">
        <v>5.6661334684434003E-2</v>
      </c>
      <c r="CC104" s="4">
        <v>5.2276471886282698E-2</v>
      </c>
      <c r="CD104" s="4">
        <v>6.1552981285924499E-2</v>
      </c>
      <c r="CE104" s="4">
        <v>2.7764901514727599E-2</v>
      </c>
      <c r="CF104" s="4">
        <v>3.0824585273688501E-2</v>
      </c>
      <c r="CG104" s="4">
        <v>2.4351592512797799E-2</v>
      </c>
      <c r="CH104" s="4">
        <v>3.3158126425119797E-2</v>
      </c>
      <c r="CI104" s="4">
        <v>3.2057407266598503E-2</v>
      </c>
      <c r="CJ104" s="4">
        <v>3.4386062025122198E-2</v>
      </c>
      <c r="CK104" s="4">
        <v>1.7514112182747999E-2</v>
      </c>
      <c r="CL104" s="4">
        <v>1.09889959951044E-2</v>
      </c>
      <c r="CM104" s="4">
        <v>2.4793373562847401E-2</v>
      </c>
      <c r="CN104" s="4">
        <v>1.5466800892987799E-2</v>
      </c>
      <c r="CO104" s="4">
        <v>1.21072459126484E-2</v>
      </c>
      <c r="CP104" s="4">
        <v>1.92146389573912E-2</v>
      </c>
      <c r="CQ104" s="4">
        <v>2.1708469598073099E-2</v>
      </c>
      <c r="CR104" s="4">
        <v>2.0947066584816501E-2</v>
      </c>
      <c r="CS104" s="4">
        <v>2.2557872335082801E-2</v>
      </c>
      <c r="CT104" s="1">
        <f>Table1[[#This Row],[Female %]]*Table1[[#This Row],[NWS_pin]]</f>
        <v>0</v>
      </c>
      <c r="CU104" s="1">
        <f>Table1[[#This Row],[Male %]]*Table1[[#This Row],[NWS_pin]]</f>
        <v>0</v>
      </c>
      <c r="CV104" s="1">
        <f>Table1[[#This Row],[Female% (0-2)22]]+Table1[[#This Row],[Male%(0-2)3]]</f>
        <v>0</v>
      </c>
      <c r="CW104" s="1">
        <f>$CT104*Table1[[#This Row],[Female% (0-2)]]</f>
        <v>0</v>
      </c>
      <c r="CX104" s="1">
        <f>$CU104*Table1[[#This Row],[Male%(0-2)]]</f>
        <v>0</v>
      </c>
      <c r="CY104" s="1">
        <f>Table1[[#This Row],[Female%  (3-5)5]]+Table1[[#This Row],[Male% (3-5)6]]</f>
        <v>0</v>
      </c>
      <c r="CZ104" s="1">
        <f>$AF104*Table1[[#This Row],[Female%  (3-5)]]</f>
        <v>0</v>
      </c>
      <c r="DA104" s="1">
        <f>$CU104*Table1[[#This Row],[Male% (3-5)]]</f>
        <v>0</v>
      </c>
      <c r="DB104" s="1">
        <f>Table1[[#This Row],[Female% (6-8)8]]+Table1[[#This Row],[Male%(6-8)9]]</f>
        <v>0</v>
      </c>
      <c r="DC104" s="1">
        <f>$CT104*Table1[[#This Row],[Female% (6-8)]]</f>
        <v>0</v>
      </c>
      <c r="DD104" s="1">
        <f>$CU104*Table1[[#This Row],[Male%(6-8)]]</f>
        <v>0</v>
      </c>
      <c r="DE104" s="1">
        <f>Table1[[#This Row],[Female% (9 - 11)11]]+Table1[[#This Row],[Male% (9 - 11)12]]</f>
        <v>0</v>
      </c>
      <c r="DF104" s="1">
        <f>$CT104*Table1[[#This Row],[Female% (9 - 11)]]</f>
        <v>0</v>
      </c>
      <c r="DG104" s="1">
        <f>$CU104*Table1[[#This Row],[Male% (9 - 11)]]</f>
        <v>0</v>
      </c>
      <c r="DH104" s="1">
        <f>Table1[[#This Row],[Female% (12-14)14]]+Table1[[#This Row],[Male%(12-14)15]]</f>
        <v>0</v>
      </c>
      <c r="DI104" s="1">
        <f>$CT104*Table1[[#This Row],[Female% (12-14)]]</f>
        <v>0</v>
      </c>
      <c r="DJ104" s="1">
        <f>$CU104*Table1[[#This Row],[Male%(12-14)]]</f>
        <v>0</v>
      </c>
      <c r="DK104" s="1">
        <f>Table1[[#This Row],[Female% (15-17)17]]+Table1[[#This Row],[Male%(15-17)18]]</f>
        <v>0</v>
      </c>
      <c r="DL104" s="1">
        <f>$CT104*Table1[[#This Row],[Female% (15-17)]]</f>
        <v>0</v>
      </c>
      <c r="DM104" s="1">
        <f>$CU104*Table1[[#This Row],[Male%(15-17)]]</f>
        <v>0</v>
      </c>
      <c r="DN104" s="1">
        <f>$AF104*Table1[[#This Row],[Total% (18-19)]]</f>
        <v>0</v>
      </c>
      <c r="DO104" s="1">
        <f>$CT104*Table1[[#This Row],[Female% (18-19)]]</f>
        <v>0</v>
      </c>
      <c r="DP104" s="1">
        <f>$CU104*Table1[[#This Row],[Male%(18-19)]]</f>
        <v>0</v>
      </c>
      <c r="DQ104" s="1">
        <f>$AF104*Table1[[#This Row],[Total% (20-24)]]</f>
        <v>0</v>
      </c>
      <c r="DR104" s="1">
        <f>$CT104*Table1[[#This Row],[Female% (20-24)]]</f>
        <v>0</v>
      </c>
      <c r="DS104" s="1">
        <f>$CU104*Table1[[#This Row],[Male% (20-24)]]</f>
        <v>0</v>
      </c>
      <c r="DT104" s="1">
        <f>$AF104*Table1[[#This Row],[Total% (25-29)]]</f>
        <v>0</v>
      </c>
      <c r="DU104" s="1">
        <f>$CT104*Table1[[#This Row],[Female% (25-29)]]</f>
        <v>0</v>
      </c>
      <c r="DV104" s="1">
        <f>$CU104*Table1[[#This Row],[Male% (25-29)]]</f>
        <v>0</v>
      </c>
      <c r="DW104" s="1">
        <f>$AF104*Table1[[#This Row],[Total%   (30-34)]]</f>
        <v>0</v>
      </c>
      <c r="DX104" s="1">
        <f>$CT104*Table1[[#This Row],[Female%   (30-34)]]</f>
        <v>0</v>
      </c>
      <c r="DY104" s="1">
        <f>$CU104*Table1[[#This Row],[Male%  (30-34)]]</f>
        <v>0</v>
      </c>
      <c r="DZ104" s="1">
        <f>$AF104*Table1[[#This Row],[Total% (35-39)]]</f>
        <v>0</v>
      </c>
      <c r="EA104" s="1">
        <f>$CT104*Table1[[#This Row],[Female% (35-39)]]</f>
        <v>0</v>
      </c>
      <c r="EB104" s="1">
        <f>$CU104*Table1[[#This Row],[Male% (35-39)]]</f>
        <v>0</v>
      </c>
      <c r="EC104" s="1">
        <f>$AF104*Table1[[#This Row],[Total% (40-44)]]</f>
        <v>0</v>
      </c>
      <c r="ED104" s="1">
        <f>$CT104*Table1[[#This Row],[Female% (40-44)]]</f>
        <v>0</v>
      </c>
      <c r="EE104" s="1">
        <f>$CU104*Table1[[#This Row],[Male%(55-59)]]</f>
        <v>0</v>
      </c>
      <c r="EF104" s="1">
        <f>$AF104*Table1[[#This Row],[Total% (45-49)]]</f>
        <v>0</v>
      </c>
      <c r="EG104" s="1">
        <f>$CT104*Table1[[#This Row],[Female% (45-49)]]</f>
        <v>0</v>
      </c>
      <c r="EH104" s="1">
        <f>$CU104*Table1[[#This Row],[Male% (45-49)]]</f>
        <v>0</v>
      </c>
      <c r="EI104" s="1">
        <f>$AF104*Table1[[#This Row],[Total% (50-54)]]</f>
        <v>0</v>
      </c>
      <c r="EJ104" s="1">
        <f>$CT104*Table1[[#This Row],[Female%(50-54)]]</f>
        <v>0</v>
      </c>
      <c r="EK104" s="1">
        <f>$CU104*Table1[[#This Row],[Male% (50-54)]]</f>
        <v>0</v>
      </c>
      <c r="EL104" s="1">
        <f>$AF104*Table1[[#This Row],[Total% (55-59)]]</f>
        <v>0</v>
      </c>
      <c r="EM104" s="1">
        <f>$CT104*Table1[[#This Row],[Female% (55-59)]]</f>
        <v>0</v>
      </c>
      <c r="EN104" s="1">
        <f>$CU104*Table1[[#This Row],[Male% (55-59)]]</f>
        <v>0</v>
      </c>
      <c r="EO104" s="1">
        <f>$AF104*Table1[[#This Row],[Total% (60-64)]]</f>
        <v>0</v>
      </c>
      <c r="EP104" s="1">
        <f>$CT104*Table1[[#This Row],[Female%(60-64)]]</f>
        <v>0</v>
      </c>
      <c r="EQ104" s="1">
        <f>$CU104*Table1[[#This Row],[Male%(60-64)]]</f>
        <v>0</v>
      </c>
      <c r="ER104" s="1">
        <f>$AF104*Table1[[#This Row],[Total% (&gt;=65)]]</f>
        <v>0</v>
      </c>
      <c r="ES104" s="1">
        <f>$CT104*Table1[[#This Row],[Female%(&gt;=65)]]</f>
        <v>0</v>
      </c>
      <c r="ET104" s="1">
        <f>$CU104*Table1[[#This Row],[Male% (&gt;=65)]]</f>
        <v>0</v>
      </c>
    </row>
    <row r="105" spans="1:150" hidden="1" x14ac:dyDescent="0.35">
      <c r="A105" t="s">
        <v>168</v>
      </c>
      <c r="B105" t="s">
        <v>169</v>
      </c>
      <c r="C105" t="s">
        <v>168</v>
      </c>
      <c r="D105" t="s">
        <v>170</v>
      </c>
      <c r="E105" t="s">
        <v>505</v>
      </c>
      <c r="F105" t="s">
        <v>506</v>
      </c>
      <c r="H105">
        <v>3</v>
      </c>
      <c r="I105" s="1">
        <v>0</v>
      </c>
      <c r="J105" s="1">
        <v>967</v>
      </c>
      <c r="K105" s="1">
        <v>48936</v>
      </c>
      <c r="L105" s="1">
        <v>483</v>
      </c>
      <c r="M105" s="1">
        <v>0</v>
      </c>
      <c r="N105" s="1">
        <v>49419</v>
      </c>
      <c r="O105" s="3">
        <v>1</v>
      </c>
      <c r="P105" s="3">
        <v>0</v>
      </c>
      <c r="Q105" s="3">
        <v>0</v>
      </c>
      <c r="R105" s="3">
        <v>0</v>
      </c>
      <c r="S105" s="3">
        <v>0</v>
      </c>
      <c r="T105" s="1">
        <v>50386</v>
      </c>
      <c r="U105" s="1">
        <v>0</v>
      </c>
      <c r="V105" s="10">
        <f>Table1[[#This Row],[Pop NW+RATAA]]*Table1[[#This Row],[Perc_pop_Northern_Aleppo]]</f>
        <v>0</v>
      </c>
      <c r="W105" s="10">
        <f>Table1[[#This Row],[Pop NW+RATAA]]*Table1[[#This Row],[Perc_pop_Afrin District]]</f>
        <v>0</v>
      </c>
      <c r="X105" s="10">
        <f>Table1[[#This Row],[Pop NW+RATAA]]*Table1[[#This Row],[Perc_pop_Euphrates Shiled]]</f>
        <v>0</v>
      </c>
      <c r="Y105" s="10">
        <f>Table1[[#This Row],[Pop NW+RATAA]]*Table1[[#This Row],[Perc_Pop_Idleb_NSAG]]</f>
        <v>0</v>
      </c>
      <c r="Z105" s="3">
        <v>0</v>
      </c>
      <c r="AA105" s="3">
        <v>0</v>
      </c>
      <c r="AB105" s="3">
        <v>0</v>
      </c>
      <c r="AC105" s="3">
        <v>0</v>
      </c>
      <c r="AD105" s="1">
        <v>49419</v>
      </c>
      <c r="AE105" s="1">
        <v>0</v>
      </c>
      <c r="AF105" s="1">
        <v>0</v>
      </c>
      <c r="AG105" s="1">
        <v>0</v>
      </c>
      <c r="AH105" s="1">
        <v>0</v>
      </c>
      <c r="AI105" s="1">
        <f>Table1[[#This Row],[NWS_pin]]*Table1[[#This Row],[Perc_pop_Northern_Aleppo]]</f>
        <v>0</v>
      </c>
      <c r="AJ105" s="1">
        <f>Table1[[#This Row],[NWS_pin]]*Table1[[#This Row],[Perc_pop_Afrin District]]</f>
        <v>0</v>
      </c>
      <c r="AK105" s="1">
        <f>Table1[[#This Row],[NWS_pin]]*Table1[[#This Row],[Perc_pop_Euphrates Shiled]]</f>
        <v>0</v>
      </c>
      <c r="AL105" s="1">
        <f>Table1[[#This Row],[NWS_pin]]*Table1[[#This Row],[Perc_Pop_Idleb_NSAG]]</f>
        <v>0</v>
      </c>
      <c r="AM105" s="4">
        <v>0.54367055670770204</v>
      </c>
      <c r="AN105" s="4">
        <v>0.45632944329229802</v>
      </c>
      <c r="AO105" s="4">
        <v>0.19193450302399701</v>
      </c>
      <c r="AP105" s="4">
        <v>0.41007833487100598</v>
      </c>
      <c r="AQ105" s="4">
        <v>0.52650033448868405</v>
      </c>
      <c r="AR105" s="4">
        <v>1.6390886779217101E-2</v>
      </c>
      <c r="AS105" s="4">
        <v>2.9510989352324098E-3</v>
      </c>
      <c r="AT105" s="4">
        <v>4.4079344925860603E-2</v>
      </c>
      <c r="AU105" s="4">
        <v>3.9101045571633103E-2</v>
      </c>
      <c r="AV105" s="4">
        <v>2.87884790116072E-2</v>
      </c>
      <c r="AW105" s="4">
        <v>5.1387429641712098E-2</v>
      </c>
      <c r="AX105" s="4">
        <v>9.7417497428215205E-2</v>
      </c>
      <c r="AY105" s="4">
        <v>8.9689279564689806E-2</v>
      </c>
      <c r="AZ105" s="4">
        <v>0.10662489039832</v>
      </c>
      <c r="BA105" s="4">
        <v>0.10356200178248801</v>
      </c>
      <c r="BB105" s="4">
        <v>0.11314044652624999</v>
      </c>
      <c r="BC105" s="4">
        <v>9.2150249894063604E-2</v>
      </c>
      <c r="BD105" s="4">
        <v>9.2657471135085906E-2</v>
      </c>
      <c r="BE105" s="4">
        <v>8.6221269768811407E-2</v>
      </c>
      <c r="BF105" s="4">
        <v>0.10032555661876599</v>
      </c>
      <c r="BG105" s="4">
        <v>7.2262976391470404E-2</v>
      </c>
      <c r="BH105" s="4">
        <v>6.94453970227836E-2</v>
      </c>
      <c r="BI105" s="4">
        <v>7.5619838339475207E-2</v>
      </c>
      <c r="BJ105" s="4">
        <v>5.0297495700334399E-2</v>
      </c>
      <c r="BK105" s="4">
        <v>4.59346392588953E-2</v>
      </c>
      <c r="BL105" s="4">
        <v>5.5495399594591002E-2</v>
      </c>
      <c r="BM105" s="4">
        <v>2.0982408896738601E-2</v>
      </c>
      <c r="BN105" s="4">
        <v>1.59158662822373E-2</v>
      </c>
      <c r="BO105" s="4">
        <v>2.70186839701505E-2</v>
      </c>
      <c r="BP105" s="4">
        <v>4.8576203142270701E-2</v>
      </c>
      <c r="BQ105" s="4">
        <v>7.2126483414330603E-2</v>
      </c>
      <c r="BR105" s="4">
        <v>2.0518416877683798E-2</v>
      </c>
      <c r="BS105" s="4">
        <v>7.3858617241669297E-2</v>
      </c>
      <c r="BT105" s="4">
        <v>8.0831487829921597E-2</v>
      </c>
      <c r="BU105" s="4">
        <v>6.5551144449172594E-2</v>
      </c>
      <c r="BV105" s="4">
        <v>8.4378993262215804E-2</v>
      </c>
      <c r="BW105" s="4">
        <v>0.10978574670461</v>
      </c>
      <c r="BX105" s="4">
        <v>5.4109406253967499E-2</v>
      </c>
      <c r="BY105" s="4">
        <v>9.6762750150476404E-2</v>
      </c>
      <c r="BZ105" s="4">
        <v>8.1499104701289501E-2</v>
      </c>
      <c r="CA105" s="4">
        <v>0.11494784589814</v>
      </c>
      <c r="CB105" s="4">
        <v>4.2491332409351802E-2</v>
      </c>
      <c r="CC105" s="4">
        <v>3.5275006555612901E-2</v>
      </c>
      <c r="CD105" s="4">
        <v>5.1088857622673102E-2</v>
      </c>
      <c r="CE105" s="4">
        <v>5.1460147557215299E-2</v>
      </c>
      <c r="CF105" s="4">
        <v>4.6841743694337398E-2</v>
      </c>
      <c r="CG105" s="4">
        <v>5.6962510457834799E-2</v>
      </c>
      <c r="CH105" s="4">
        <v>4.0712443825196599E-2</v>
      </c>
      <c r="CI105" s="4">
        <v>5.5498650711822702E-2</v>
      </c>
      <c r="CJ105" s="4">
        <v>2.3096168023115399E-2</v>
      </c>
      <c r="CK105" s="4">
        <v>2.5382867545848301E-2</v>
      </c>
      <c r="CL105" s="4">
        <v>1.8351968264212402E-2</v>
      </c>
      <c r="CM105" s="4">
        <v>3.3759475680148102E-2</v>
      </c>
      <c r="CN105" s="4">
        <v>3.0480591293844499E-2</v>
      </c>
      <c r="CO105" s="4">
        <v>3.1668326339222098E-2</v>
      </c>
      <c r="CP105" s="4">
        <v>2.9065524651019699E-2</v>
      </c>
      <c r="CQ105" s="4">
        <v>2.9615156665945299E-2</v>
      </c>
      <c r="CR105" s="4">
        <v>1.8986104349366501E-2</v>
      </c>
      <c r="CS105" s="4">
        <v>4.2278601629167301E-2</v>
      </c>
      <c r="CT105" s="1">
        <f>Table1[[#This Row],[Female %]]*Table1[[#This Row],[NWS_pin]]</f>
        <v>0</v>
      </c>
      <c r="CU105" s="1">
        <f>Table1[[#This Row],[Male %]]*Table1[[#This Row],[NWS_pin]]</f>
        <v>0</v>
      </c>
      <c r="CV105" s="1">
        <f>Table1[[#This Row],[Female% (0-2)22]]+Table1[[#This Row],[Male%(0-2)3]]</f>
        <v>0</v>
      </c>
      <c r="CW105" s="1">
        <f>$CT105*Table1[[#This Row],[Female% (0-2)]]</f>
        <v>0</v>
      </c>
      <c r="CX105" s="1">
        <f>$CU105*Table1[[#This Row],[Male%(0-2)]]</f>
        <v>0</v>
      </c>
      <c r="CY105" s="1">
        <f>Table1[[#This Row],[Female%  (3-5)5]]+Table1[[#This Row],[Male% (3-5)6]]</f>
        <v>0</v>
      </c>
      <c r="CZ105" s="1">
        <f>$AF105*Table1[[#This Row],[Female%  (3-5)]]</f>
        <v>0</v>
      </c>
      <c r="DA105" s="1">
        <f>$CU105*Table1[[#This Row],[Male% (3-5)]]</f>
        <v>0</v>
      </c>
      <c r="DB105" s="1">
        <f>Table1[[#This Row],[Female% (6-8)8]]+Table1[[#This Row],[Male%(6-8)9]]</f>
        <v>0</v>
      </c>
      <c r="DC105" s="1">
        <f>$CT105*Table1[[#This Row],[Female% (6-8)]]</f>
        <v>0</v>
      </c>
      <c r="DD105" s="1">
        <f>$CU105*Table1[[#This Row],[Male%(6-8)]]</f>
        <v>0</v>
      </c>
      <c r="DE105" s="1">
        <f>Table1[[#This Row],[Female% (9 - 11)11]]+Table1[[#This Row],[Male% (9 - 11)12]]</f>
        <v>0</v>
      </c>
      <c r="DF105" s="1">
        <f>$CT105*Table1[[#This Row],[Female% (9 - 11)]]</f>
        <v>0</v>
      </c>
      <c r="DG105" s="1">
        <f>$CU105*Table1[[#This Row],[Male% (9 - 11)]]</f>
        <v>0</v>
      </c>
      <c r="DH105" s="1">
        <f>Table1[[#This Row],[Female% (12-14)14]]+Table1[[#This Row],[Male%(12-14)15]]</f>
        <v>0</v>
      </c>
      <c r="DI105" s="1">
        <f>$CT105*Table1[[#This Row],[Female% (12-14)]]</f>
        <v>0</v>
      </c>
      <c r="DJ105" s="1">
        <f>$CU105*Table1[[#This Row],[Male%(12-14)]]</f>
        <v>0</v>
      </c>
      <c r="DK105" s="1">
        <f>Table1[[#This Row],[Female% (15-17)17]]+Table1[[#This Row],[Male%(15-17)18]]</f>
        <v>0</v>
      </c>
      <c r="DL105" s="1">
        <f>$CT105*Table1[[#This Row],[Female% (15-17)]]</f>
        <v>0</v>
      </c>
      <c r="DM105" s="1">
        <f>$CU105*Table1[[#This Row],[Male%(15-17)]]</f>
        <v>0</v>
      </c>
      <c r="DN105" s="1">
        <f>$AF105*Table1[[#This Row],[Total% (18-19)]]</f>
        <v>0</v>
      </c>
      <c r="DO105" s="1">
        <f>$CT105*Table1[[#This Row],[Female% (18-19)]]</f>
        <v>0</v>
      </c>
      <c r="DP105" s="1">
        <f>$CU105*Table1[[#This Row],[Male%(18-19)]]</f>
        <v>0</v>
      </c>
      <c r="DQ105" s="1">
        <f>$AF105*Table1[[#This Row],[Total% (20-24)]]</f>
        <v>0</v>
      </c>
      <c r="DR105" s="1">
        <f>$CT105*Table1[[#This Row],[Female% (20-24)]]</f>
        <v>0</v>
      </c>
      <c r="DS105" s="1">
        <f>$CU105*Table1[[#This Row],[Male% (20-24)]]</f>
        <v>0</v>
      </c>
      <c r="DT105" s="1">
        <f>$AF105*Table1[[#This Row],[Total% (25-29)]]</f>
        <v>0</v>
      </c>
      <c r="DU105" s="1">
        <f>$CT105*Table1[[#This Row],[Female% (25-29)]]</f>
        <v>0</v>
      </c>
      <c r="DV105" s="1">
        <f>$CU105*Table1[[#This Row],[Male% (25-29)]]</f>
        <v>0</v>
      </c>
      <c r="DW105" s="1">
        <f>$AF105*Table1[[#This Row],[Total%   (30-34)]]</f>
        <v>0</v>
      </c>
      <c r="DX105" s="1">
        <f>$CT105*Table1[[#This Row],[Female%   (30-34)]]</f>
        <v>0</v>
      </c>
      <c r="DY105" s="1">
        <f>$CU105*Table1[[#This Row],[Male%  (30-34)]]</f>
        <v>0</v>
      </c>
      <c r="DZ105" s="1">
        <f>$AF105*Table1[[#This Row],[Total% (35-39)]]</f>
        <v>0</v>
      </c>
      <c r="EA105" s="1">
        <f>$CT105*Table1[[#This Row],[Female% (35-39)]]</f>
        <v>0</v>
      </c>
      <c r="EB105" s="1">
        <f>$CU105*Table1[[#This Row],[Male% (35-39)]]</f>
        <v>0</v>
      </c>
      <c r="EC105" s="1">
        <f>$AF105*Table1[[#This Row],[Total% (40-44)]]</f>
        <v>0</v>
      </c>
      <c r="ED105" s="1">
        <f>$CT105*Table1[[#This Row],[Female% (40-44)]]</f>
        <v>0</v>
      </c>
      <c r="EE105" s="1">
        <f>$CU105*Table1[[#This Row],[Male%(55-59)]]</f>
        <v>0</v>
      </c>
      <c r="EF105" s="1">
        <f>$AF105*Table1[[#This Row],[Total% (45-49)]]</f>
        <v>0</v>
      </c>
      <c r="EG105" s="1">
        <f>$CT105*Table1[[#This Row],[Female% (45-49)]]</f>
        <v>0</v>
      </c>
      <c r="EH105" s="1">
        <f>$CU105*Table1[[#This Row],[Male% (45-49)]]</f>
        <v>0</v>
      </c>
      <c r="EI105" s="1">
        <f>$AF105*Table1[[#This Row],[Total% (50-54)]]</f>
        <v>0</v>
      </c>
      <c r="EJ105" s="1">
        <f>$CT105*Table1[[#This Row],[Female%(50-54)]]</f>
        <v>0</v>
      </c>
      <c r="EK105" s="1">
        <f>$CU105*Table1[[#This Row],[Male% (50-54)]]</f>
        <v>0</v>
      </c>
      <c r="EL105" s="1">
        <f>$AF105*Table1[[#This Row],[Total% (55-59)]]</f>
        <v>0</v>
      </c>
      <c r="EM105" s="1">
        <f>$CT105*Table1[[#This Row],[Female% (55-59)]]</f>
        <v>0</v>
      </c>
      <c r="EN105" s="1">
        <f>$CU105*Table1[[#This Row],[Male% (55-59)]]</f>
        <v>0</v>
      </c>
      <c r="EO105" s="1">
        <f>$AF105*Table1[[#This Row],[Total% (60-64)]]</f>
        <v>0</v>
      </c>
      <c r="EP105" s="1">
        <f>$CT105*Table1[[#This Row],[Female%(60-64)]]</f>
        <v>0</v>
      </c>
      <c r="EQ105" s="1">
        <f>$CU105*Table1[[#This Row],[Male%(60-64)]]</f>
        <v>0</v>
      </c>
      <c r="ER105" s="1">
        <f>$AF105*Table1[[#This Row],[Total% (&gt;=65)]]</f>
        <v>0</v>
      </c>
      <c r="ES105" s="1">
        <f>$CT105*Table1[[#This Row],[Female%(&gt;=65)]]</f>
        <v>0</v>
      </c>
      <c r="ET105" s="1">
        <f>$CU105*Table1[[#This Row],[Male% (&gt;=65)]]</f>
        <v>0</v>
      </c>
    </row>
    <row r="106" spans="1:150" hidden="1" x14ac:dyDescent="0.35">
      <c r="A106" t="s">
        <v>168</v>
      </c>
      <c r="B106" t="s">
        <v>169</v>
      </c>
      <c r="C106" t="s">
        <v>168</v>
      </c>
      <c r="D106" t="s">
        <v>170</v>
      </c>
      <c r="E106" t="s">
        <v>171</v>
      </c>
      <c r="F106" t="s">
        <v>172</v>
      </c>
      <c r="H106">
        <v>3</v>
      </c>
      <c r="I106" s="1">
        <v>0</v>
      </c>
      <c r="J106" s="1">
        <v>5423</v>
      </c>
      <c r="K106" s="1">
        <v>6101</v>
      </c>
      <c r="L106" s="1">
        <v>0</v>
      </c>
      <c r="M106" s="1">
        <v>0</v>
      </c>
      <c r="N106" s="1">
        <v>6101</v>
      </c>
      <c r="O106" s="3">
        <v>1</v>
      </c>
      <c r="P106" s="3">
        <v>0</v>
      </c>
      <c r="Q106" s="3">
        <v>0</v>
      </c>
      <c r="R106" s="3">
        <v>0</v>
      </c>
      <c r="S106" s="3">
        <v>0</v>
      </c>
      <c r="T106" s="1">
        <v>11524</v>
      </c>
      <c r="U106" s="1">
        <v>0</v>
      </c>
      <c r="V106" s="10">
        <f>Table1[[#This Row],[Pop NW+RATAA]]*Table1[[#This Row],[Perc_pop_Northern_Aleppo]]</f>
        <v>0</v>
      </c>
      <c r="W106" s="10">
        <f>Table1[[#This Row],[Pop NW+RATAA]]*Table1[[#This Row],[Perc_pop_Afrin District]]</f>
        <v>0</v>
      </c>
      <c r="X106" s="10">
        <f>Table1[[#This Row],[Pop NW+RATAA]]*Table1[[#This Row],[Perc_pop_Euphrates Shiled]]</f>
        <v>0</v>
      </c>
      <c r="Y106" s="10">
        <f>Table1[[#This Row],[Pop NW+RATAA]]*Table1[[#This Row],[Perc_Pop_Idleb_NSAG]]</f>
        <v>0</v>
      </c>
      <c r="Z106" s="3">
        <v>0</v>
      </c>
      <c r="AA106" s="3">
        <v>0</v>
      </c>
      <c r="AB106" s="3">
        <v>0</v>
      </c>
      <c r="AC106" s="3">
        <v>0</v>
      </c>
      <c r="AD106" s="1">
        <v>6101</v>
      </c>
      <c r="AE106" s="1">
        <v>0</v>
      </c>
      <c r="AF106" s="1">
        <v>0</v>
      </c>
      <c r="AG106" s="1">
        <v>0</v>
      </c>
      <c r="AH106" s="1">
        <v>0</v>
      </c>
      <c r="AI106" s="1">
        <f>Table1[[#This Row],[NWS_pin]]*Table1[[#This Row],[Perc_pop_Northern_Aleppo]]</f>
        <v>0</v>
      </c>
      <c r="AJ106" s="1">
        <f>Table1[[#This Row],[NWS_pin]]*Table1[[#This Row],[Perc_pop_Afrin District]]</f>
        <v>0</v>
      </c>
      <c r="AK106" s="1">
        <f>Table1[[#This Row],[NWS_pin]]*Table1[[#This Row],[Perc_pop_Euphrates Shiled]]</f>
        <v>0</v>
      </c>
      <c r="AL106" s="1">
        <f>Table1[[#This Row],[NWS_pin]]*Table1[[#This Row],[Perc_Pop_Idleb_NSAG]]</f>
        <v>0</v>
      </c>
      <c r="AM106" s="4">
        <v>0.54306588878733897</v>
      </c>
      <c r="AN106" s="4">
        <v>0.45693411121266098</v>
      </c>
      <c r="AO106" s="4">
        <v>0.10399178684602001</v>
      </c>
      <c r="AP106" s="4">
        <v>0.47083801959706201</v>
      </c>
      <c r="AQ106" s="4">
        <v>0.44549291999741403</v>
      </c>
      <c r="AR106" s="4">
        <v>2.02948187675294E-2</v>
      </c>
      <c r="AS106" s="4">
        <v>0</v>
      </c>
      <c r="AT106" s="4">
        <v>6.3374241637995293E-2</v>
      </c>
      <c r="AU106" s="4">
        <v>5.9917144424419498E-2</v>
      </c>
      <c r="AV106" s="4">
        <v>4.5284059514082202E-2</v>
      </c>
      <c r="AW106" s="4">
        <v>7.7308556156502797E-2</v>
      </c>
      <c r="AX106" s="4">
        <v>0.110719906854511</v>
      </c>
      <c r="AY106" s="4">
        <v>9.4702037072235901E-2</v>
      </c>
      <c r="AZ106" s="4">
        <v>0.12975713449047099</v>
      </c>
      <c r="BA106" s="4">
        <v>0.10814328850427</v>
      </c>
      <c r="BB106" s="4">
        <v>0.106768650275885</v>
      </c>
      <c r="BC106" s="4">
        <v>0.10977704512900099</v>
      </c>
      <c r="BD106" s="4">
        <v>0.10807776336773101</v>
      </c>
      <c r="BE106" s="4">
        <v>0.117756840199343</v>
      </c>
      <c r="BF106" s="4">
        <v>9.6574186958759703E-2</v>
      </c>
      <c r="BG106" s="4">
        <v>8.2039403801313304E-2</v>
      </c>
      <c r="BH106" s="4">
        <v>5.4050808041262E-2</v>
      </c>
      <c r="BI106" s="4">
        <v>0.11530383133989899</v>
      </c>
      <c r="BJ106" s="4">
        <v>6.8115600158707906E-2</v>
      </c>
      <c r="BK106" s="4">
        <v>8.3431134307026603E-2</v>
      </c>
      <c r="BL106" s="4">
        <v>4.9913097958913598E-2</v>
      </c>
      <c r="BM106" s="4">
        <v>2.0481896528845599E-2</v>
      </c>
      <c r="BN106" s="4">
        <v>1.74218254818676E-2</v>
      </c>
      <c r="BO106" s="4">
        <v>2.4118788943091499E-2</v>
      </c>
      <c r="BP106" s="4">
        <v>3.8359333378515499E-2</v>
      </c>
      <c r="BQ106" s="4">
        <v>5.9128355921332101E-2</v>
      </c>
      <c r="BR106" s="4">
        <v>1.3675363830858701E-2</v>
      </c>
      <c r="BS106" s="4">
        <v>5.65734707310456E-2</v>
      </c>
      <c r="BT106" s="4">
        <v>7.4941444364763202E-2</v>
      </c>
      <c r="BU106" s="4">
        <v>3.4743146222891701E-2</v>
      </c>
      <c r="BV106" s="4">
        <v>6.5783357668107903E-2</v>
      </c>
      <c r="BW106" s="4">
        <v>8.3153192244480006E-2</v>
      </c>
      <c r="BX106" s="4">
        <v>4.5139320769062803E-2</v>
      </c>
      <c r="BY106" s="4">
        <v>7.8239096672112707E-2</v>
      </c>
      <c r="BZ106" s="4">
        <v>8.4371255474721504E-2</v>
      </c>
      <c r="CA106" s="4">
        <v>7.0951029993339298E-2</v>
      </c>
      <c r="CB106" s="4">
        <v>6.3472143537225606E-2</v>
      </c>
      <c r="CC106" s="4">
        <v>6.3651054607247501E-2</v>
      </c>
      <c r="CD106" s="4">
        <v>6.3259507848903995E-2</v>
      </c>
      <c r="CE106" s="4">
        <v>3.1040614289107701E-2</v>
      </c>
      <c r="CF106" s="4">
        <v>2.6530833243092401E-2</v>
      </c>
      <c r="CG106" s="4">
        <v>3.6400486077823202E-2</v>
      </c>
      <c r="CH106" s="4">
        <v>3.6683809029374799E-2</v>
      </c>
      <c r="CI106" s="4">
        <v>3.53520039923092E-2</v>
      </c>
      <c r="CJ106" s="4">
        <v>3.8266658434568099E-2</v>
      </c>
      <c r="CK106" s="4">
        <v>3.1890892038920697E-2</v>
      </c>
      <c r="CL106" s="4">
        <v>2.80957497910575E-2</v>
      </c>
      <c r="CM106" s="4">
        <v>3.6401416088964703E-2</v>
      </c>
      <c r="CN106" s="4">
        <v>2.1292790655797499E-2</v>
      </c>
      <c r="CO106" s="4">
        <v>8.3285436224652797E-3</v>
      </c>
      <c r="CP106" s="4">
        <v>3.6700789675460303E-2</v>
      </c>
      <c r="CQ106" s="4">
        <v>1.9169488359994099E-2</v>
      </c>
      <c r="CR106" s="4">
        <v>1.7032211846829199E-2</v>
      </c>
      <c r="CS106" s="4">
        <v>2.17096400814882E-2</v>
      </c>
      <c r="CT106" s="1">
        <f>Table1[[#This Row],[Female %]]*Table1[[#This Row],[NWS_pin]]</f>
        <v>0</v>
      </c>
      <c r="CU106" s="1">
        <f>Table1[[#This Row],[Male %]]*Table1[[#This Row],[NWS_pin]]</f>
        <v>0</v>
      </c>
      <c r="CV106" s="1">
        <f>Table1[[#This Row],[Female% (0-2)22]]+Table1[[#This Row],[Male%(0-2)3]]</f>
        <v>0</v>
      </c>
      <c r="CW106" s="1">
        <f>$CT106*Table1[[#This Row],[Female% (0-2)]]</f>
        <v>0</v>
      </c>
      <c r="CX106" s="1">
        <f>$CU106*Table1[[#This Row],[Male%(0-2)]]</f>
        <v>0</v>
      </c>
      <c r="CY106" s="1">
        <f>Table1[[#This Row],[Female%  (3-5)5]]+Table1[[#This Row],[Male% (3-5)6]]</f>
        <v>0</v>
      </c>
      <c r="CZ106" s="1">
        <f>$AF106*Table1[[#This Row],[Female%  (3-5)]]</f>
        <v>0</v>
      </c>
      <c r="DA106" s="1">
        <f>$CU106*Table1[[#This Row],[Male% (3-5)]]</f>
        <v>0</v>
      </c>
      <c r="DB106" s="1">
        <f>Table1[[#This Row],[Female% (6-8)8]]+Table1[[#This Row],[Male%(6-8)9]]</f>
        <v>0</v>
      </c>
      <c r="DC106" s="1">
        <f>$CT106*Table1[[#This Row],[Female% (6-8)]]</f>
        <v>0</v>
      </c>
      <c r="DD106" s="1">
        <f>$CU106*Table1[[#This Row],[Male%(6-8)]]</f>
        <v>0</v>
      </c>
      <c r="DE106" s="1">
        <f>Table1[[#This Row],[Female% (9 - 11)11]]+Table1[[#This Row],[Male% (9 - 11)12]]</f>
        <v>0</v>
      </c>
      <c r="DF106" s="1">
        <f>$CT106*Table1[[#This Row],[Female% (9 - 11)]]</f>
        <v>0</v>
      </c>
      <c r="DG106" s="1">
        <f>$CU106*Table1[[#This Row],[Male% (9 - 11)]]</f>
        <v>0</v>
      </c>
      <c r="DH106" s="1">
        <f>Table1[[#This Row],[Female% (12-14)14]]+Table1[[#This Row],[Male%(12-14)15]]</f>
        <v>0</v>
      </c>
      <c r="DI106" s="1">
        <f>$CT106*Table1[[#This Row],[Female% (12-14)]]</f>
        <v>0</v>
      </c>
      <c r="DJ106" s="1">
        <f>$CU106*Table1[[#This Row],[Male%(12-14)]]</f>
        <v>0</v>
      </c>
      <c r="DK106" s="1">
        <f>Table1[[#This Row],[Female% (15-17)17]]+Table1[[#This Row],[Male%(15-17)18]]</f>
        <v>0</v>
      </c>
      <c r="DL106" s="1">
        <f>$CT106*Table1[[#This Row],[Female% (15-17)]]</f>
        <v>0</v>
      </c>
      <c r="DM106" s="1">
        <f>$CU106*Table1[[#This Row],[Male%(15-17)]]</f>
        <v>0</v>
      </c>
      <c r="DN106" s="1">
        <f>$AF106*Table1[[#This Row],[Total% (18-19)]]</f>
        <v>0</v>
      </c>
      <c r="DO106" s="1">
        <f>$CT106*Table1[[#This Row],[Female% (18-19)]]</f>
        <v>0</v>
      </c>
      <c r="DP106" s="1">
        <f>$CU106*Table1[[#This Row],[Male%(18-19)]]</f>
        <v>0</v>
      </c>
      <c r="DQ106" s="1">
        <f>$AF106*Table1[[#This Row],[Total% (20-24)]]</f>
        <v>0</v>
      </c>
      <c r="DR106" s="1">
        <f>$CT106*Table1[[#This Row],[Female% (20-24)]]</f>
        <v>0</v>
      </c>
      <c r="DS106" s="1">
        <f>$CU106*Table1[[#This Row],[Male% (20-24)]]</f>
        <v>0</v>
      </c>
      <c r="DT106" s="1">
        <f>$AF106*Table1[[#This Row],[Total% (25-29)]]</f>
        <v>0</v>
      </c>
      <c r="DU106" s="1">
        <f>$CT106*Table1[[#This Row],[Female% (25-29)]]</f>
        <v>0</v>
      </c>
      <c r="DV106" s="1">
        <f>$CU106*Table1[[#This Row],[Male% (25-29)]]</f>
        <v>0</v>
      </c>
      <c r="DW106" s="1">
        <f>$AF106*Table1[[#This Row],[Total%   (30-34)]]</f>
        <v>0</v>
      </c>
      <c r="DX106" s="1">
        <f>$CT106*Table1[[#This Row],[Female%   (30-34)]]</f>
        <v>0</v>
      </c>
      <c r="DY106" s="1">
        <f>$CU106*Table1[[#This Row],[Male%  (30-34)]]</f>
        <v>0</v>
      </c>
      <c r="DZ106" s="1">
        <f>$AF106*Table1[[#This Row],[Total% (35-39)]]</f>
        <v>0</v>
      </c>
      <c r="EA106" s="1">
        <f>$CT106*Table1[[#This Row],[Female% (35-39)]]</f>
        <v>0</v>
      </c>
      <c r="EB106" s="1">
        <f>$CU106*Table1[[#This Row],[Male% (35-39)]]</f>
        <v>0</v>
      </c>
      <c r="EC106" s="1">
        <f>$AF106*Table1[[#This Row],[Total% (40-44)]]</f>
        <v>0</v>
      </c>
      <c r="ED106" s="1">
        <f>$CT106*Table1[[#This Row],[Female% (40-44)]]</f>
        <v>0</v>
      </c>
      <c r="EE106" s="1">
        <f>$CU106*Table1[[#This Row],[Male%(55-59)]]</f>
        <v>0</v>
      </c>
      <c r="EF106" s="1">
        <f>$AF106*Table1[[#This Row],[Total% (45-49)]]</f>
        <v>0</v>
      </c>
      <c r="EG106" s="1">
        <f>$CT106*Table1[[#This Row],[Female% (45-49)]]</f>
        <v>0</v>
      </c>
      <c r="EH106" s="1">
        <f>$CU106*Table1[[#This Row],[Male% (45-49)]]</f>
        <v>0</v>
      </c>
      <c r="EI106" s="1">
        <f>$AF106*Table1[[#This Row],[Total% (50-54)]]</f>
        <v>0</v>
      </c>
      <c r="EJ106" s="1">
        <f>$CT106*Table1[[#This Row],[Female%(50-54)]]</f>
        <v>0</v>
      </c>
      <c r="EK106" s="1">
        <f>$CU106*Table1[[#This Row],[Male% (50-54)]]</f>
        <v>0</v>
      </c>
      <c r="EL106" s="1">
        <f>$AF106*Table1[[#This Row],[Total% (55-59)]]</f>
        <v>0</v>
      </c>
      <c r="EM106" s="1">
        <f>$CT106*Table1[[#This Row],[Female% (55-59)]]</f>
        <v>0</v>
      </c>
      <c r="EN106" s="1">
        <f>$CU106*Table1[[#This Row],[Male% (55-59)]]</f>
        <v>0</v>
      </c>
      <c r="EO106" s="1">
        <f>$AF106*Table1[[#This Row],[Total% (60-64)]]</f>
        <v>0</v>
      </c>
      <c r="EP106" s="1">
        <f>$CT106*Table1[[#This Row],[Female%(60-64)]]</f>
        <v>0</v>
      </c>
      <c r="EQ106" s="1">
        <f>$CU106*Table1[[#This Row],[Male%(60-64)]]</f>
        <v>0</v>
      </c>
      <c r="ER106" s="1">
        <f>$AF106*Table1[[#This Row],[Total% (&gt;=65)]]</f>
        <v>0</v>
      </c>
      <c r="ES106" s="1">
        <f>$CT106*Table1[[#This Row],[Female%(&gt;=65)]]</f>
        <v>0</v>
      </c>
      <c r="ET106" s="1">
        <f>$CU106*Table1[[#This Row],[Male% (&gt;=65)]]</f>
        <v>0</v>
      </c>
    </row>
    <row r="107" spans="1:150" hidden="1" x14ac:dyDescent="0.35">
      <c r="A107" t="s">
        <v>168</v>
      </c>
      <c r="B107" t="s">
        <v>169</v>
      </c>
      <c r="C107" t="s">
        <v>284</v>
      </c>
      <c r="D107" t="s">
        <v>285</v>
      </c>
      <c r="E107" t="s">
        <v>284</v>
      </c>
      <c r="F107" t="s">
        <v>481</v>
      </c>
      <c r="H107">
        <v>3</v>
      </c>
      <c r="I107" s="1">
        <v>0</v>
      </c>
      <c r="J107" s="1">
        <v>6950</v>
      </c>
      <c r="K107" s="1">
        <v>33093</v>
      </c>
      <c r="L107" s="1">
        <v>0</v>
      </c>
      <c r="M107" s="1">
        <v>0</v>
      </c>
      <c r="N107" s="1">
        <v>33093</v>
      </c>
      <c r="O107" s="3">
        <v>1</v>
      </c>
      <c r="P107" s="3">
        <v>0</v>
      </c>
      <c r="Q107" s="3">
        <v>0</v>
      </c>
      <c r="R107" s="3">
        <v>0</v>
      </c>
      <c r="S107" s="3">
        <v>0</v>
      </c>
      <c r="T107" s="1">
        <v>40043</v>
      </c>
      <c r="U107" s="1">
        <v>0</v>
      </c>
      <c r="V107" s="10">
        <f>Table1[[#This Row],[Pop NW+RATAA]]*Table1[[#This Row],[Perc_pop_Northern_Aleppo]]</f>
        <v>0</v>
      </c>
      <c r="W107" s="10">
        <f>Table1[[#This Row],[Pop NW+RATAA]]*Table1[[#This Row],[Perc_pop_Afrin District]]</f>
        <v>0</v>
      </c>
      <c r="X107" s="10">
        <f>Table1[[#This Row],[Pop NW+RATAA]]*Table1[[#This Row],[Perc_pop_Euphrates Shiled]]</f>
        <v>0</v>
      </c>
      <c r="Y107" s="10">
        <f>Table1[[#This Row],[Pop NW+RATAA]]*Table1[[#This Row],[Perc_Pop_Idleb_NSAG]]</f>
        <v>0</v>
      </c>
      <c r="Z107" s="3">
        <v>0</v>
      </c>
      <c r="AA107" s="3">
        <v>0</v>
      </c>
      <c r="AB107" s="3">
        <v>0</v>
      </c>
      <c r="AC107" s="3">
        <v>0</v>
      </c>
      <c r="AD107" s="1">
        <v>33093</v>
      </c>
      <c r="AE107" s="1">
        <v>0</v>
      </c>
      <c r="AF107" s="1">
        <v>0</v>
      </c>
      <c r="AG107" s="1">
        <v>0</v>
      </c>
      <c r="AH107" s="1">
        <v>0</v>
      </c>
      <c r="AI107" s="1">
        <f>Table1[[#This Row],[NWS_pin]]*Table1[[#This Row],[Perc_pop_Northern_Aleppo]]</f>
        <v>0</v>
      </c>
      <c r="AJ107" s="1">
        <f>Table1[[#This Row],[NWS_pin]]*Table1[[#This Row],[Perc_pop_Afrin District]]</f>
        <v>0</v>
      </c>
      <c r="AK107" s="1">
        <f>Table1[[#This Row],[NWS_pin]]*Table1[[#This Row],[Perc_pop_Euphrates Shiled]]</f>
        <v>0</v>
      </c>
      <c r="AL107" s="1">
        <f>Table1[[#This Row],[NWS_pin]]*Table1[[#This Row],[Perc_Pop_Idleb_NSAG]]</f>
        <v>0</v>
      </c>
      <c r="AM107" s="4">
        <v>0.50735669985126897</v>
      </c>
      <c r="AN107" s="4">
        <v>0.49264330014873098</v>
      </c>
      <c r="AO107" s="4">
        <v>0</v>
      </c>
      <c r="AP107" s="4">
        <v>0.38744576765809402</v>
      </c>
      <c r="AQ107" s="4">
        <v>0.60444726275183003</v>
      </c>
      <c r="AR107" s="4">
        <v>0</v>
      </c>
      <c r="AS107" s="4">
        <v>0</v>
      </c>
      <c r="AT107" s="4">
        <v>8.1069695900767604E-3</v>
      </c>
      <c r="AU107" s="4">
        <v>0.121952803936395</v>
      </c>
      <c r="AV107" s="4">
        <v>0.17588609809265501</v>
      </c>
      <c r="AW107" s="4">
        <v>6.6408725437881205E-2</v>
      </c>
      <c r="AX107" s="4">
        <v>0.141588309358194</v>
      </c>
      <c r="AY107" s="4">
        <v>0.117071617715854</v>
      </c>
      <c r="AZ107" s="4">
        <v>0.16683722223120601</v>
      </c>
      <c r="BA107" s="4">
        <v>0.115265241987469</v>
      </c>
      <c r="BB107" s="4">
        <v>0.114320370236153</v>
      </c>
      <c r="BC107" s="4">
        <v>0.116238333498884</v>
      </c>
      <c r="BD107" s="4">
        <v>9.8245783987865598E-2</v>
      </c>
      <c r="BE107" s="4">
        <v>9.1844683958179504E-2</v>
      </c>
      <c r="BF107" s="4">
        <v>0.104838060763981</v>
      </c>
      <c r="BG107" s="4">
        <v>5.5527314736214403E-2</v>
      </c>
      <c r="BH107" s="4">
        <v>4.8981700578048903E-2</v>
      </c>
      <c r="BI107" s="4">
        <v>6.2268421733476E-2</v>
      </c>
      <c r="BJ107" s="4">
        <v>3.8961282512376599E-2</v>
      </c>
      <c r="BK107" s="4">
        <v>3.2838986367455601E-2</v>
      </c>
      <c r="BL107" s="4">
        <v>4.5266428581878598E-2</v>
      </c>
      <c r="BM107" s="4">
        <v>1.9410369151646199E-2</v>
      </c>
      <c r="BN107" s="4">
        <v>1.4734566721746801E-2</v>
      </c>
      <c r="BO107" s="4">
        <v>2.4225820187464799E-2</v>
      </c>
      <c r="BP107" s="4">
        <v>4.1368552555153199E-3</v>
      </c>
      <c r="BQ107" s="4">
        <v>0</v>
      </c>
      <c r="BR107" s="4">
        <v>8.3972627949398405E-3</v>
      </c>
      <c r="BS107" s="4">
        <v>3.1335384074392299E-2</v>
      </c>
      <c r="BT107" s="4">
        <v>6.1762038588586997E-2</v>
      </c>
      <c r="BU107" s="4">
        <v>0</v>
      </c>
      <c r="BV107" s="4">
        <v>9.8074039343701194E-2</v>
      </c>
      <c r="BW107" s="4">
        <v>0.124551706148676</v>
      </c>
      <c r="BX107" s="4">
        <v>7.0805584366484195E-2</v>
      </c>
      <c r="BY107" s="4">
        <v>0.112633997392867</v>
      </c>
      <c r="BZ107" s="4">
        <v>0.11965604079337901</v>
      </c>
      <c r="CA107" s="4">
        <v>0.105402232006388</v>
      </c>
      <c r="CB107" s="4">
        <v>8.0427561658259497E-2</v>
      </c>
      <c r="CC107" s="4">
        <v>5.4657468613998103E-2</v>
      </c>
      <c r="CD107" s="4">
        <v>0.106967310311797</v>
      </c>
      <c r="CE107" s="4">
        <v>5.2404805540324798E-2</v>
      </c>
      <c r="CF107" s="4">
        <v>3.0812700729592701E-2</v>
      </c>
      <c r="CG107" s="4">
        <v>7.4641785189309001E-2</v>
      </c>
      <c r="CH107" s="4">
        <v>1.8001323363134699E-2</v>
      </c>
      <c r="CI107" s="4">
        <v>2.3196535921663E-3</v>
      </c>
      <c r="CJ107" s="4">
        <v>3.4151345540953698E-2</v>
      </c>
      <c r="CK107" s="4">
        <v>6.67603959980084E-3</v>
      </c>
      <c r="CL107" s="4">
        <v>0</v>
      </c>
      <c r="CM107" s="4">
        <v>1.3551467355356899E-2</v>
      </c>
      <c r="CN107" s="4">
        <v>0</v>
      </c>
      <c r="CO107" s="4">
        <v>0</v>
      </c>
      <c r="CP107" s="4">
        <v>0</v>
      </c>
      <c r="CQ107" s="4">
        <v>5.3588881018444799E-3</v>
      </c>
      <c r="CR107" s="4">
        <v>1.05623678635079E-2</v>
      </c>
      <c r="CS107" s="4">
        <v>0</v>
      </c>
      <c r="CT107" s="1">
        <f>Table1[[#This Row],[Female %]]*Table1[[#This Row],[NWS_pin]]</f>
        <v>0</v>
      </c>
      <c r="CU107" s="1">
        <f>Table1[[#This Row],[Male %]]*Table1[[#This Row],[NWS_pin]]</f>
        <v>0</v>
      </c>
      <c r="CV107" s="1">
        <f>Table1[[#This Row],[Female% (0-2)22]]+Table1[[#This Row],[Male%(0-2)3]]</f>
        <v>0</v>
      </c>
      <c r="CW107" s="1">
        <f>$CT107*Table1[[#This Row],[Female% (0-2)]]</f>
        <v>0</v>
      </c>
      <c r="CX107" s="1">
        <f>$CU107*Table1[[#This Row],[Male%(0-2)]]</f>
        <v>0</v>
      </c>
      <c r="CY107" s="1">
        <f>Table1[[#This Row],[Female%  (3-5)5]]+Table1[[#This Row],[Male% (3-5)6]]</f>
        <v>0</v>
      </c>
      <c r="CZ107" s="1">
        <f>$AF107*Table1[[#This Row],[Female%  (3-5)]]</f>
        <v>0</v>
      </c>
      <c r="DA107" s="1">
        <f>$CU107*Table1[[#This Row],[Male% (3-5)]]</f>
        <v>0</v>
      </c>
      <c r="DB107" s="1">
        <f>Table1[[#This Row],[Female% (6-8)8]]+Table1[[#This Row],[Male%(6-8)9]]</f>
        <v>0</v>
      </c>
      <c r="DC107" s="1">
        <f>$CT107*Table1[[#This Row],[Female% (6-8)]]</f>
        <v>0</v>
      </c>
      <c r="DD107" s="1">
        <f>$CU107*Table1[[#This Row],[Male%(6-8)]]</f>
        <v>0</v>
      </c>
      <c r="DE107" s="1">
        <f>Table1[[#This Row],[Female% (9 - 11)11]]+Table1[[#This Row],[Male% (9 - 11)12]]</f>
        <v>0</v>
      </c>
      <c r="DF107" s="1">
        <f>$CT107*Table1[[#This Row],[Female% (9 - 11)]]</f>
        <v>0</v>
      </c>
      <c r="DG107" s="1">
        <f>$CU107*Table1[[#This Row],[Male% (9 - 11)]]</f>
        <v>0</v>
      </c>
      <c r="DH107" s="1">
        <f>Table1[[#This Row],[Female% (12-14)14]]+Table1[[#This Row],[Male%(12-14)15]]</f>
        <v>0</v>
      </c>
      <c r="DI107" s="1">
        <f>$CT107*Table1[[#This Row],[Female% (12-14)]]</f>
        <v>0</v>
      </c>
      <c r="DJ107" s="1">
        <f>$CU107*Table1[[#This Row],[Male%(12-14)]]</f>
        <v>0</v>
      </c>
      <c r="DK107" s="1">
        <f>Table1[[#This Row],[Female% (15-17)17]]+Table1[[#This Row],[Male%(15-17)18]]</f>
        <v>0</v>
      </c>
      <c r="DL107" s="1">
        <f>$CT107*Table1[[#This Row],[Female% (15-17)]]</f>
        <v>0</v>
      </c>
      <c r="DM107" s="1">
        <f>$CU107*Table1[[#This Row],[Male%(15-17)]]</f>
        <v>0</v>
      </c>
      <c r="DN107" s="1">
        <f>$AF107*Table1[[#This Row],[Total% (18-19)]]</f>
        <v>0</v>
      </c>
      <c r="DO107" s="1">
        <f>$CT107*Table1[[#This Row],[Female% (18-19)]]</f>
        <v>0</v>
      </c>
      <c r="DP107" s="1">
        <f>$CU107*Table1[[#This Row],[Male%(18-19)]]</f>
        <v>0</v>
      </c>
      <c r="DQ107" s="1">
        <f>$AF107*Table1[[#This Row],[Total% (20-24)]]</f>
        <v>0</v>
      </c>
      <c r="DR107" s="1">
        <f>$CT107*Table1[[#This Row],[Female% (20-24)]]</f>
        <v>0</v>
      </c>
      <c r="DS107" s="1">
        <f>$CU107*Table1[[#This Row],[Male% (20-24)]]</f>
        <v>0</v>
      </c>
      <c r="DT107" s="1">
        <f>$AF107*Table1[[#This Row],[Total% (25-29)]]</f>
        <v>0</v>
      </c>
      <c r="DU107" s="1">
        <f>$CT107*Table1[[#This Row],[Female% (25-29)]]</f>
        <v>0</v>
      </c>
      <c r="DV107" s="1">
        <f>$CU107*Table1[[#This Row],[Male% (25-29)]]</f>
        <v>0</v>
      </c>
      <c r="DW107" s="1">
        <f>$AF107*Table1[[#This Row],[Total%   (30-34)]]</f>
        <v>0</v>
      </c>
      <c r="DX107" s="1">
        <f>$CT107*Table1[[#This Row],[Female%   (30-34)]]</f>
        <v>0</v>
      </c>
      <c r="DY107" s="1">
        <f>$CU107*Table1[[#This Row],[Male%  (30-34)]]</f>
        <v>0</v>
      </c>
      <c r="DZ107" s="1">
        <f>$AF107*Table1[[#This Row],[Total% (35-39)]]</f>
        <v>0</v>
      </c>
      <c r="EA107" s="1">
        <f>$CT107*Table1[[#This Row],[Female% (35-39)]]</f>
        <v>0</v>
      </c>
      <c r="EB107" s="1">
        <f>$CU107*Table1[[#This Row],[Male% (35-39)]]</f>
        <v>0</v>
      </c>
      <c r="EC107" s="1">
        <f>$AF107*Table1[[#This Row],[Total% (40-44)]]</f>
        <v>0</v>
      </c>
      <c r="ED107" s="1">
        <f>$CT107*Table1[[#This Row],[Female% (40-44)]]</f>
        <v>0</v>
      </c>
      <c r="EE107" s="1">
        <f>$CU107*Table1[[#This Row],[Male%(55-59)]]</f>
        <v>0</v>
      </c>
      <c r="EF107" s="1">
        <f>$AF107*Table1[[#This Row],[Total% (45-49)]]</f>
        <v>0</v>
      </c>
      <c r="EG107" s="1">
        <f>$CT107*Table1[[#This Row],[Female% (45-49)]]</f>
        <v>0</v>
      </c>
      <c r="EH107" s="1">
        <f>$CU107*Table1[[#This Row],[Male% (45-49)]]</f>
        <v>0</v>
      </c>
      <c r="EI107" s="1">
        <f>$AF107*Table1[[#This Row],[Total% (50-54)]]</f>
        <v>0</v>
      </c>
      <c r="EJ107" s="1">
        <f>$CT107*Table1[[#This Row],[Female%(50-54)]]</f>
        <v>0</v>
      </c>
      <c r="EK107" s="1">
        <f>$CU107*Table1[[#This Row],[Male% (50-54)]]</f>
        <v>0</v>
      </c>
      <c r="EL107" s="1">
        <f>$AF107*Table1[[#This Row],[Total% (55-59)]]</f>
        <v>0</v>
      </c>
      <c r="EM107" s="1">
        <f>$CT107*Table1[[#This Row],[Female% (55-59)]]</f>
        <v>0</v>
      </c>
      <c r="EN107" s="1">
        <f>$CU107*Table1[[#This Row],[Male% (55-59)]]</f>
        <v>0</v>
      </c>
      <c r="EO107" s="1">
        <f>$AF107*Table1[[#This Row],[Total% (60-64)]]</f>
        <v>0</v>
      </c>
      <c r="EP107" s="1">
        <f>$CT107*Table1[[#This Row],[Female%(60-64)]]</f>
        <v>0</v>
      </c>
      <c r="EQ107" s="1">
        <f>$CU107*Table1[[#This Row],[Male%(60-64)]]</f>
        <v>0</v>
      </c>
      <c r="ER107" s="1">
        <f>$AF107*Table1[[#This Row],[Total% (&gt;=65)]]</f>
        <v>0</v>
      </c>
      <c r="ES107" s="1">
        <f>$CT107*Table1[[#This Row],[Female%(&gt;=65)]]</f>
        <v>0</v>
      </c>
      <c r="ET107" s="1">
        <f>$CU107*Table1[[#This Row],[Male% (&gt;=65)]]</f>
        <v>0</v>
      </c>
    </row>
    <row r="108" spans="1:150" hidden="1" x14ac:dyDescent="0.35">
      <c r="A108" t="s">
        <v>168</v>
      </c>
      <c r="B108" t="s">
        <v>169</v>
      </c>
      <c r="C108" t="s">
        <v>284</v>
      </c>
      <c r="D108" t="s">
        <v>285</v>
      </c>
      <c r="E108" t="s">
        <v>324</v>
      </c>
      <c r="F108" t="s">
        <v>325</v>
      </c>
      <c r="H108">
        <v>3</v>
      </c>
      <c r="I108" s="1">
        <v>0</v>
      </c>
      <c r="J108" s="1">
        <v>5186</v>
      </c>
      <c r="K108" s="1">
        <v>11978</v>
      </c>
      <c r="L108" s="1">
        <v>0</v>
      </c>
      <c r="M108" s="1">
        <v>0</v>
      </c>
      <c r="N108" s="1">
        <v>11978</v>
      </c>
      <c r="O108" s="3">
        <v>1</v>
      </c>
      <c r="P108" s="3">
        <v>0</v>
      </c>
      <c r="Q108" s="3">
        <v>0</v>
      </c>
      <c r="R108" s="3">
        <v>0</v>
      </c>
      <c r="S108" s="3">
        <v>0</v>
      </c>
      <c r="T108" s="1">
        <v>17164</v>
      </c>
      <c r="U108" s="1">
        <v>0</v>
      </c>
      <c r="V108" s="10">
        <f>Table1[[#This Row],[Pop NW+RATAA]]*Table1[[#This Row],[Perc_pop_Northern_Aleppo]]</f>
        <v>0</v>
      </c>
      <c r="W108" s="10">
        <f>Table1[[#This Row],[Pop NW+RATAA]]*Table1[[#This Row],[Perc_pop_Afrin District]]</f>
        <v>0</v>
      </c>
      <c r="X108" s="10">
        <f>Table1[[#This Row],[Pop NW+RATAA]]*Table1[[#This Row],[Perc_pop_Euphrates Shiled]]</f>
        <v>0</v>
      </c>
      <c r="Y108" s="10">
        <f>Table1[[#This Row],[Pop NW+RATAA]]*Table1[[#This Row],[Perc_Pop_Idleb_NSAG]]</f>
        <v>0</v>
      </c>
      <c r="Z108" s="3">
        <v>0</v>
      </c>
      <c r="AA108" s="3">
        <v>0</v>
      </c>
      <c r="AB108" s="3">
        <v>0</v>
      </c>
      <c r="AC108" s="3">
        <v>0</v>
      </c>
      <c r="AD108" s="1">
        <v>11978</v>
      </c>
      <c r="AE108" s="1">
        <v>0</v>
      </c>
      <c r="AF108" s="1">
        <v>0</v>
      </c>
      <c r="AG108" s="1">
        <v>0</v>
      </c>
      <c r="AH108" s="1">
        <v>0</v>
      </c>
      <c r="AI108" s="1">
        <f>Table1[[#This Row],[NWS_pin]]*Table1[[#This Row],[Perc_pop_Northern_Aleppo]]</f>
        <v>0</v>
      </c>
      <c r="AJ108" s="1">
        <f>Table1[[#This Row],[NWS_pin]]*Table1[[#This Row],[Perc_pop_Afrin District]]</f>
        <v>0</v>
      </c>
      <c r="AK108" s="1">
        <f>Table1[[#This Row],[NWS_pin]]*Table1[[#This Row],[Perc_pop_Euphrates Shiled]]</f>
        <v>0</v>
      </c>
      <c r="AL108" s="1">
        <f>Table1[[#This Row],[NWS_pin]]*Table1[[#This Row],[Perc_Pop_Idleb_NSAG]]</f>
        <v>0</v>
      </c>
      <c r="AM108" s="4">
        <v>0.53437298235285502</v>
      </c>
      <c r="AN108" s="4">
        <v>0.46562701764714498</v>
      </c>
      <c r="AO108" s="4">
        <v>0.28168957665710898</v>
      </c>
      <c r="AP108" s="4">
        <v>0.35504951355979297</v>
      </c>
      <c r="AQ108" s="4">
        <v>0.53280135380540405</v>
      </c>
      <c r="AR108" s="4">
        <v>2.1440826195866999E-2</v>
      </c>
      <c r="AS108" s="4">
        <v>7.7890632054553504E-3</v>
      </c>
      <c r="AT108" s="4">
        <v>8.2919243233481196E-2</v>
      </c>
      <c r="AU108" s="4">
        <v>6.8902090953297093E-2</v>
      </c>
      <c r="AV108" s="4">
        <v>7.1819359524903703E-2</v>
      </c>
      <c r="AW108" s="4">
        <v>6.5554111888828398E-2</v>
      </c>
      <c r="AX108" s="4">
        <v>6.6333597338481196E-2</v>
      </c>
      <c r="AY108" s="4">
        <v>4.35846478320282E-2</v>
      </c>
      <c r="AZ108" s="4">
        <v>9.2441240435707894E-2</v>
      </c>
      <c r="BA108" s="4">
        <v>8.0275454405985699E-2</v>
      </c>
      <c r="BB108" s="4">
        <v>5.6916804380884603E-2</v>
      </c>
      <c r="BC108" s="4">
        <v>0.10708281524325799</v>
      </c>
      <c r="BD108" s="4">
        <v>5.1868066815528698E-2</v>
      </c>
      <c r="BE108" s="4">
        <v>7.6018248275148401E-2</v>
      </c>
      <c r="BF108" s="4">
        <v>2.4152311496709801E-2</v>
      </c>
      <c r="BG108" s="4">
        <v>5.6532880567215303E-2</v>
      </c>
      <c r="BH108" s="4">
        <v>5.2787914017633497E-2</v>
      </c>
      <c r="BI108" s="4">
        <v>6.0830760346666297E-2</v>
      </c>
      <c r="BJ108" s="4">
        <v>5.7257132882410397E-2</v>
      </c>
      <c r="BK108" s="4">
        <v>4.5757641236962798E-2</v>
      </c>
      <c r="BL108" s="4">
        <v>7.0454429029809404E-2</v>
      </c>
      <c r="BM108" s="4">
        <v>1.4621114665513101E-2</v>
      </c>
      <c r="BN108" s="4">
        <v>1.5186606569500801E-2</v>
      </c>
      <c r="BO108" s="4">
        <v>1.3972132575175499E-2</v>
      </c>
      <c r="BP108" s="4">
        <v>4.6420453405801899E-2</v>
      </c>
      <c r="BQ108" s="4">
        <v>5.2210680942279701E-2</v>
      </c>
      <c r="BR108" s="4">
        <v>3.9775346829288703E-2</v>
      </c>
      <c r="BS108" s="4">
        <v>0.121586025833473</v>
      </c>
      <c r="BT108" s="4">
        <v>0.14278352136523201</v>
      </c>
      <c r="BU108" s="4">
        <v>9.7258896014082705E-2</v>
      </c>
      <c r="BV108" s="4">
        <v>8.0988864620653897E-2</v>
      </c>
      <c r="BW108" s="4">
        <v>9.1401661903732903E-2</v>
      </c>
      <c r="BX108" s="4">
        <v>6.9038704239257495E-2</v>
      </c>
      <c r="BY108" s="4">
        <v>7.2181284257649497E-2</v>
      </c>
      <c r="BZ108" s="4">
        <v>7.4304809497868093E-2</v>
      </c>
      <c r="CA108" s="4">
        <v>6.9744238139812106E-2</v>
      </c>
      <c r="CB108" s="4">
        <v>4.5311306521902898E-2</v>
      </c>
      <c r="CC108" s="4">
        <v>5.00376875373452E-2</v>
      </c>
      <c r="CD108" s="4">
        <v>3.9887114575911299E-2</v>
      </c>
      <c r="CE108" s="4">
        <v>4.5021280332809097E-2</v>
      </c>
      <c r="CF108" s="4">
        <v>4.7460935320475899E-2</v>
      </c>
      <c r="CG108" s="4">
        <v>4.2221430534017002E-2</v>
      </c>
      <c r="CH108" s="4">
        <v>4.1658060749373498E-2</v>
      </c>
      <c r="CI108" s="4">
        <v>4.39782619501956E-2</v>
      </c>
      <c r="CJ108" s="4">
        <v>3.8995301097652403E-2</v>
      </c>
      <c r="CK108" s="4">
        <v>4.6141269317235001E-2</v>
      </c>
      <c r="CL108" s="4">
        <v>4.1125574062858598E-2</v>
      </c>
      <c r="CM108" s="4">
        <v>5.1897490348389398E-2</v>
      </c>
      <c r="CN108" s="4">
        <v>4.1883576440332401E-2</v>
      </c>
      <c r="CO108" s="4">
        <v>3.9149387717007697E-2</v>
      </c>
      <c r="CP108" s="4">
        <v>4.5021445436383201E-2</v>
      </c>
      <c r="CQ108" s="4">
        <v>6.3017540892337395E-2</v>
      </c>
      <c r="CR108" s="4">
        <v>5.5476257865941903E-2</v>
      </c>
      <c r="CS108" s="4">
        <v>7.1672231769050604E-2</v>
      </c>
      <c r="CT108" s="1">
        <f>Table1[[#This Row],[Female %]]*Table1[[#This Row],[NWS_pin]]</f>
        <v>0</v>
      </c>
      <c r="CU108" s="1">
        <f>Table1[[#This Row],[Male %]]*Table1[[#This Row],[NWS_pin]]</f>
        <v>0</v>
      </c>
      <c r="CV108" s="1">
        <f>Table1[[#This Row],[Female% (0-2)22]]+Table1[[#This Row],[Male%(0-2)3]]</f>
        <v>0</v>
      </c>
      <c r="CW108" s="1">
        <f>$CT108*Table1[[#This Row],[Female% (0-2)]]</f>
        <v>0</v>
      </c>
      <c r="CX108" s="1">
        <f>$CU108*Table1[[#This Row],[Male%(0-2)]]</f>
        <v>0</v>
      </c>
      <c r="CY108" s="1">
        <f>Table1[[#This Row],[Female%  (3-5)5]]+Table1[[#This Row],[Male% (3-5)6]]</f>
        <v>0</v>
      </c>
      <c r="CZ108" s="1">
        <f>$AF108*Table1[[#This Row],[Female%  (3-5)]]</f>
        <v>0</v>
      </c>
      <c r="DA108" s="1">
        <f>$CU108*Table1[[#This Row],[Male% (3-5)]]</f>
        <v>0</v>
      </c>
      <c r="DB108" s="1">
        <f>Table1[[#This Row],[Female% (6-8)8]]+Table1[[#This Row],[Male%(6-8)9]]</f>
        <v>0</v>
      </c>
      <c r="DC108" s="1">
        <f>$CT108*Table1[[#This Row],[Female% (6-8)]]</f>
        <v>0</v>
      </c>
      <c r="DD108" s="1">
        <f>$CU108*Table1[[#This Row],[Male%(6-8)]]</f>
        <v>0</v>
      </c>
      <c r="DE108" s="1">
        <f>Table1[[#This Row],[Female% (9 - 11)11]]+Table1[[#This Row],[Male% (9 - 11)12]]</f>
        <v>0</v>
      </c>
      <c r="DF108" s="1">
        <f>$CT108*Table1[[#This Row],[Female% (9 - 11)]]</f>
        <v>0</v>
      </c>
      <c r="DG108" s="1">
        <f>$CU108*Table1[[#This Row],[Male% (9 - 11)]]</f>
        <v>0</v>
      </c>
      <c r="DH108" s="1">
        <f>Table1[[#This Row],[Female% (12-14)14]]+Table1[[#This Row],[Male%(12-14)15]]</f>
        <v>0</v>
      </c>
      <c r="DI108" s="1">
        <f>$CT108*Table1[[#This Row],[Female% (12-14)]]</f>
        <v>0</v>
      </c>
      <c r="DJ108" s="1">
        <f>$CU108*Table1[[#This Row],[Male%(12-14)]]</f>
        <v>0</v>
      </c>
      <c r="DK108" s="1">
        <f>Table1[[#This Row],[Female% (15-17)17]]+Table1[[#This Row],[Male%(15-17)18]]</f>
        <v>0</v>
      </c>
      <c r="DL108" s="1">
        <f>$CT108*Table1[[#This Row],[Female% (15-17)]]</f>
        <v>0</v>
      </c>
      <c r="DM108" s="1">
        <f>$CU108*Table1[[#This Row],[Male%(15-17)]]</f>
        <v>0</v>
      </c>
      <c r="DN108" s="1">
        <f>$AF108*Table1[[#This Row],[Total% (18-19)]]</f>
        <v>0</v>
      </c>
      <c r="DO108" s="1">
        <f>$CT108*Table1[[#This Row],[Female% (18-19)]]</f>
        <v>0</v>
      </c>
      <c r="DP108" s="1">
        <f>$CU108*Table1[[#This Row],[Male%(18-19)]]</f>
        <v>0</v>
      </c>
      <c r="DQ108" s="1">
        <f>$AF108*Table1[[#This Row],[Total% (20-24)]]</f>
        <v>0</v>
      </c>
      <c r="DR108" s="1">
        <f>$CT108*Table1[[#This Row],[Female% (20-24)]]</f>
        <v>0</v>
      </c>
      <c r="DS108" s="1">
        <f>$CU108*Table1[[#This Row],[Male% (20-24)]]</f>
        <v>0</v>
      </c>
      <c r="DT108" s="1">
        <f>$AF108*Table1[[#This Row],[Total% (25-29)]]</f>
        <v>0</v>
      </c>
      <c r="DU108" s="1">
        <f>$CT108*Table1[[#This Row],[Female% (25-29)]]</f>
        <v>0</v>
      </c>
      <c r="DV108" s="1">
        <f>$CU108*Table1[[#This Row],[Male% (25-29)]]</f>
        <v>0</v>
      </c>
      <c r="DW108" s="1">
        <f>$AF108*Table1[[#This Row],[Total%   (30-34)]]</f>
        <v>0</v>
      </c>
      <c r="DX108" s="1">
        <f>$CT108*Table1[[#This Row],[Female%   (30-34)]]</f>
        <v>0</v>
      </c>
      <c r="DY108" s="1">
        <f>$CU108*Table1[[#This Row],[Male%  (30-34)]]</f>
        <v>0</v>
      </c>
      <c r="DZ108" s="1">
        <f>$AF108*Table1[[#This Row],[Total% (35-39)]]</f>
        <v>0</v>
      </c>
      <c r="EA108" s="1">
        <f>$CT108*Table1[[#This Row],[Female% (35-39)]]</f>
        <v>0</v>
      </c>
      <c r="EB108" s="1">
        <f>$CU108*Table1[[#This Row],[Male% (35-39)]]</f>
        <v>0</v>
      </c>
      <c r="EC108" s="1">
        <f>$AF108*Table1[[#This Row],[Total% (40-44)]]</f>
        <v>0</v>
      </c>
      <c r="ED108" s="1">
        <f>$CT108*Table1[[#This Row],[Female% (40-44)]]</f>
        <v>0</v>
      </c>
      <c r="EE108" s="1">
        <f>$CU108*Table1[[#This Row],[Male%(55-59)]]</f>
        <v>0</v>
      </c>
      <c r="EF108" s="1">
        <f>$AF108*Table1[[#This Row],[Total% (45-49)]]</f>
        <v>0</v>
      </c>
      <c r="EG108" s="1">
        <f>$CT108*Table1[[#This Row],[Female% (45-49)]]</f>
        <v>0</v>
      </c>
      <c r="EH108" s="1">
        <f>$CU108*Table1[[#This Row],[Male% (45-49)]]</f>
        <v>0</v>
      </c>
      <c r="EI108" s="1">
        <f>$AF108*Table1[[#This Row],[Total% (50-54)]]</f>
        <v>0</v>
      </c>
      <c r="EJ108" s="1">
        <f>$CT108*Table1[[#This Row],[Female%(50-54)]]</f>
        <v>0</v>
      </c>
      <c r="EK108" s="1">
        <f>$CU108*Table1[[#This Row],[Male% (50-54)]]</f>
        <v>0</v>
      </c>
      <c r="EL108" s="1">
        <f>$AF108*Table1[[#This Row],[Total% (55-59)]]</f>
        <v>0</v>
      </c>
      <c r="EM108" s="1">
        <f>$CT108*Table1[[#This Row],[Female% (55-59)]]</f>
        <v>0</v>
      </c>
      <c r="EN108" s="1">
        <f>$CU108*Table1[[#This Row],[Male% (55-59)]]</f>
        <v>0</v>
      </c>
      <c r="EO108" s="1">
        <f>$AF108*Table1[[#This Row],[Total% (60-64)]]</f>
        <v>0</v>
      </c>
      <c r="EP108" s="1">
        <f>$CT108*Table1[[#This Row],[Female%(60-64)]]</f>
        <v>0</v>
      </c>
      <c r="EQ108" s="1">
        <f>$CU108*Table1[[#This Row],[Male%(60-64)]]</f>
        <v>0</v>
      </c>
      <c r="ER108" s="1">
        <f>$AF108*Table1[[#This Row],[Total% (&gt;=65)]]</f>
        <v>0</v>
      </c>
      <c r="ES108" s="1">
        <f>$CT108*Table1[[#This Row],[Female%(&gt;=65)]]</f>
        <v>0</v>
      </c>
      <c r="ET108" s="1">
        <f>$CU108*Table1[[#This Row],[Male% (&gt;=65)]]</f>
        <v>0</v>
      </c>
    </row>
    <row r="109" spans="1:150" x14ac:dyDescent="0.35">
      <c r="A109" t="s">
        <v>168</v>
      </c>
      <c r="B109" t="s">
        <v>169</v>
      </c>
      <c r="C109" t="s">
        <v>284</v>
      </c>
      <c r="D109" t="s">
        <v>285</v>
      </c>
      <c r="E109" t="s">
        <v>583</v>
      </c>
      <c r="F109" t="s">
        <v>584</v>
      </c>
      <c r="G109" t="s">
        <v>1143</v>
      </c>
      <c r="H109">
        <v>3</v>
      </c>
      <c r="I109" s="1">
        <v>0</v>
      </c>
      <c r="J109" s="1">
        <v>2017</v>
      </c>
      <c r="K109" s="1">
        <v>1770</v>
      </c>
      <c r="L109" s="1">
        <v>0</v>
      </c>
      <c r="M109" s="1">
        <v>0</v>
      </c>
      <c r="N109" s="1">
        <v>1770</v>
      </c>
      <c r="O109" s="3">
        <v>0.22</v>
      </c>
      <c r="P109" s="3">
        <v>0</v>
      </c>
      <c r="Q109" s="3">
        <v>0.78</v>
      </c>
      <c r="R109" s="3">
        <v>0</v>
      </c>
      <c r="S109" s="3">
        <v>0</v>
      </c>
      <c r="T109" s="1">
        <v>3787</v>
      </c>
      <c r="U109" s="1">
        <v>2078</v>
      </c>
      <c r="V109" s="10">
        <f>Table1[[#This Row],[Pop NW+RATAA]]*Table1[[#This Row],[Perc_pop_Northern_Aleppo]]</f>
        <v>0</v>
      </c>
      <c r="W109" s="10">
        <f>Table1[[#This Row],[Pop NW+RATAA]]*Table1[[#This Row],[Perc_pop_Afrin District]]</f>
        <v>0</v>
      </c>
      <c r="X109" s="10">
        <f>Table1[[#This Row],[Pop NW+RATAA]]*Table1[[#This Row],[Perc_pop_Euphrates Shiled]]</f>
        <v>0</v>
      </c>
      <c r="Y109" s="10">
        <f>Table1[[#This Row],[Pop NW+RATAA]]*Table1[[#This Row],[Perc_Pop_Idleb_NSAG]]</f>
        <v>2078</v>
      </c>
      <c r="Z109" s="3">
        <v>0</v>
      </c>
      <c r="AA109" s="3">
        <v>0</v>
      </c>
      <c r="AB109" s="3">
        <v>0</v>
      </c>
      <c r="AC109" s="3">
        <v>1</v>
      </c>
      <c r="AD109" s="1">
        <v>389.4</v>
      </c>
      <c r="AE109" s="1">
        <v>0</v>
      </c>
      <c r="AF109" s="1">
        <v>1380.6000000000001</v>
      </c>
      <c r="AG109" s="1">
        <v>0</v>
      </c>
      <c r="AH109" s="1">
        <v>0</v>
      </c>
      <c r="AI109" s="1">
        <f>Table1[[#This Row],[NWS_pin]]*Table1[[#This Row],[Perc_pop_Northern_Aleppo]]</f>
        <v>0</v>
      </c>
      <c r="AJ109" s="1">
        <f>Table1[[#This Row],[NWS_pin]]*Table1[[#This Row],[Perc_pop_Afrin District]]</f>
        <v>0</v>
      </c>
      <c r="AK109" s="1">
        <f>Table1[[#This Row],[NWS_pin]]*Table1[[#This Row],[Perc_pop_Euphrates Shiled]]</f>
        <v>0</v>
      </c>
      <c r="AL109" s="1">
        <f>Table1[[#This Row],[NWS_pin]]*Table1[[#This Row],[Perc_Pop_Idleb_NSAG]]</f>
        <v>1380.6000000000001</v>
      </c>
      <c r="AM109" s="4">
        <v>0.498573671349266</v>
      </c>
      <c r="AN109" s="4">
        <v>0.501426328650734</v>
      </c>
      <c r="AO109" s="4">
        <v>7.5828729281767995E-2</v>
      </c>
      <c r="AP109" s="4">
        <v>0.45097856601821901</v>
      </c>
      <c r="AQ109" s="4">
        <v>0.51395584204432998</v>
      </c>
      <c r="AR109" s="4">
        <v>2.2342029220996399E-3</v>
      </c>
      <c r="AS109" s="4">
        <v>0</v>
      </c>
      <c r="AT109" s="4">
        <v>3.2831389015350598E-2</v>
      </c>
      <c r="AU109" s="4">
        <v>5.3663939965772199E-2</v>
      </c>
      <c r="AV109" s="4">
        <v>5.5166448770280901E-2</v>
      </c>
      <c r="AW109" s="4">
        <v>5.21699790624542E-2</v>
      </c>
      <c r="AX109" s="4">
        <v>0.10049585122573899</v>
      </c>
      <c r="AY109" s="4">
        <v>0.122279559782728</v>
      </c>
      <c r="AZ109" s="4">
        <v>7.8836072051227696E-2</v>
      </c>
      <c r="BA109" s="4">
        <v>0.107762301877167</v>
      </c>
      <c r="BB109" s="4">
        <v>0.12858165583841999</v>
      </c>
      <c r="BC109" s="4">
        <v>8.7061391002558094E-2</v>
      </c>
      <c r="BD109" s="4">
        <v>8.5319040344943503E-2</v>
      </c>
      <c r="BE109" s="4">
        <v>7.9003698861561805E-2</v>
      </c>
      <c r="BF109" s="4">
        <v>9.1598453310087494E-2</v>
      </c>
      <c r="BG109" s="4">
        <v>6.5736095625423305E-2</v>
      </c>
      <c r="BH109" s="4">
        <v>8.47319925664302E-2</v>
      </c>
      <c r="BI109" s="4">
        <v>4.6848267967998999E-2</v>
      </c>
      <c r="BJ109" s="4">
        <v>7.2378934403690504E-2</v>
      </c>
      <c r="BK109" s="4">
        <v>4.9905185626724802E-2</v>
      </c>
      <c r="BL109" s="4">
        <v>9.4724828100304706E-2</v>
      </c>
      <c r="BM109" s="4">
        <v>2.82748304120383E-2</v>
      </c>
      <c r="BN109" s="4">
        <v>3.8121369567120998E-2</v>
      </c>
      <c r="BO109" s="4">
        <v>1.8484309060987698E-2</v>
      </c>
      <c r="BP109" s="4">
        <v>2.86211679784431E-2</v>
      </c>
      <c r="BQ109" s="4">
        <v>9.3221758093532201E-3</v>
      </c>
      <c r="BR109" s="4">
        <v>4.7810366529255501E-2</v>
      </c>
      <c r="BS109" s="4">
        <v>8.9116243040376603E-2</v>
      </c>
      <c r="BT109" s="4">
        <v>9.9145672055441406E-2</v>
      </c>
      <c r="BU109" s="4">
        <v>7.91438723054112E-2</v>
      </c>
      <c r="BV109" s="4">
        <v>6.9912827102618799E-2</v>
      </c>
      <c r="BW109" s="4">
        <v>9.4892211702085699E-2</v>
      </c>
      <c r="BX109" s="4">
        <v>4.5075552360158401E-2</v>
      </c>
      <c r="BY109" s="4">
        <v>9.0636783679317698E-2</v>
      </c>
      <c r="BZ109" s="4">
        <v>6.2609492293739702E-2</v>
      </c>
      <c r="CA109" s="4">
        <v>0.118504625405309</v>
      </c>
      <c r="CB109" s="4">
        <v>5.2376376126937498E-2</v>
      </c>
      <c r="CC109" s="4">
        <v>4.5511923361923598E-2</v>
      </c>
      <c r="CD109" s="4">
        <v>5.9201776432633198E-2</v>
      </c>
      <c r="CE109" s="4">
        <v>5.5450520961656799E-2</v>
      </c>
      <c r="CF109" s="4">
        <v>6.7069326897324394E-2</v>
      </c>
      <c r="CG109" s="4">
        <v>4.3897815407426703E-2</v>
      </c>
      <c r="CH109" s="4">
        <v>3.8569213513726698E-2</v>
      </c>
      <c r="CI109" s="4">
        <v>1.9114966844414799E-2</v>
      </c>
      <c r="CJ109" s="4">
        <v>5.7912783308620999E-2</v>
      </c>
      <c r="CK109" s="4">
        <v>3.6322040575494798E-2</v>
      </c>
      <c r="CL109" s="4">
        <v>3.3680738522800797E-2</v>
      </c>
      <c r="CM109" s="4">
        <v>3.8948316034738403E-2</v>
      </c>
      <c r="CN109" s="4">
        <v>1.20259432751917E-2</v>
      </c>
      <c r="CO109" s="4">
        <v>1.0863581499649499E-2</v>
      </c>
      <c r="CP109" s="4">
        <v>1.3181692275104699E-2</v>
      </c>
      <c r="CQ109" s="4">
        <v>1.33378898914622E-2</v>
      </c>
      <c r="CR109" s="4">
        <v>0</v>
      </c>
      <c r="CS109" s="4">
        <v>2.6599899385723401E-2</v>
      </c>
      <c r="CT109" s="1">
        <f>Table1[[#This Row],[Female %]]*Table1[[#This Row],[NWS_pin]]</f>
        <v>688.33081066479667</v>
      </c>
      <c r="CU109" s="1">
        <f>Table1[[#This Row],[Male %]]*Table1[[#This Row],[NWS_pin]]</f>
        <v>692.26918933520346</v>
      </c>
      <c r="CV109" s="1">
        <f>Table1[[#This Row],[Female% (0-2)22]]+Table1[[#This Row],[Male%(0-2)3]]</f>
        <v>74.088435516745136</v>
      </c>
      <c r="CW109" s="1">
        <f>$CT109*Table1[[#This Row],[Female% (0-2)]]</f>
        <v>37.972766403545428</v>
      </c>
      <c r="CX109" s="1">
        <f>$CU109*Table1[[#This Row],[Male%(0-2)]]</f>
        <v>36.115669113199708</v>
      </c>
      <c r="CY109" s="1">
        <f>Table1[[#This Row],[Female%  (3-5)5]]+Table1[[#This Row],[Male% (3-5)6]]</f>
        <v>223.39494392530938</v>
      </c>
      <c r="CZ109" s="1">
        <f>$AF109*Table1[[#This Row],[Female%  (3-5)]]</f>
        <v>168.81916023603429</v>
      </c>
      <c r="DA109" s="1">
        <f>$CU109*Table1[[#This Row],[Male% (3-5)]]</f>
        <v>54.575783689275084</v>
      </c>
      <c r="DB109" s="1">
        <f>Table1[[#This Row],[Female% (6-8)8]]+Table1[[#This Row],[Male%(6-8)9]]</f>
        <v>148.77663397161757</v>
      </c>
      <c r="DC109" s="1">
        <f>$CT109*Table1[[#This Row],[Female% (6-8)]]</f>
        <v>88.506715399881514</v>
      </c>
      <c r="DD109" s="1">
        <f>$CU109*Table1[[#This Row],[Male%(6-8)]]</f>
        <v>60.269918571736071</v>
      </c>
      <c r="DE109" s="1">
        <f>Table1[[#This Row],[Female% (9 - 11)11]]+Table1[[#This Row],[Male% (9 - 11)12]]</f>
        <v>117.79146710022906</v>
      </c>
      <c r="DF109" s="1">
        <f>$CT109*Table1[[#This Row],[Female% (9 - 11)]]</f>
        <v>54.380680082896312</v>
      </c>
      <c r="DG109" s="1">
        <f>$CU109*Table1[[#This Row],[Male% (9 - 11)]]</f>
        <v>63.410787017332751</v>
      </c>
      <c r="DH109" s="1">
        <f>Table1[[#This Row],[Female% (12-14)14]]+Table1[[#This Row],[Male%(12-14)15]]</f>
        <v>90.75525362045947</v>
      </c>
      <c r="DI109" s="1">
        <f>$CT109*Table1[[#This Row],[Female% (12-14)]]</f>
        <v>58.323641132494423</v>
      </c>
      <c r="DJ109" s="1">
        <f>$CU109*Table1[[#This Row],[Male%(12-14)]]</f>
        <v>32.431612487965047</v>
      </c>
      <c r="DK109" s="1">
        <f>Table1[[#This Row],[Female% (15-17)17]]+Table1[[#This Row],[Male%(15-17)18]]</f>
        <v>99.926356837735085</v>
      </c>
      <c r="DL109" s="1">
        <f>$CT109*Table1[[#This Row],[Female% (15-17)]]</f>
        <v>34.351276878820642</v>
      </c>
      <c r="DM109" s="1">
        <f>$CU109*Table1[[#This Row],[Male%(15-17)]]</f>
        <v>65.575079958914444</v>
      </c>
      <c r="DN109" s="1">
        <f>$AF109*Table1[[#This Row],[Total% (18-19)]]</f>
        <v>39.03623086686008</v>
      </c>
      <c r="DO109" s="1">
        <f>$CT109*Table1[[#This Row],[Female% (18-19)]]</f>
        <v>26.240113217788707</v>
      </c>
      <c r="DP109" s="1">
        <f>$CU109*Table1[[#This Row],[Male%(18-19)]]</f>
        <v>12.796117649071309</v>
      </c>
      <c r="DQ109" s="1">
        <f>$AF109*Table1[[#This Row],[Total% (20-24)]]</f>
        <v>39.51438451103855</v>
      </c>
      <c r="DR109" s="1">
        <f>$CT109*Table1[[#This Row],[Female% (20-24)]]</f>
        <v>6.4167408320118593</v>
      </c>
      <c r="DS109" s="1">
        <f>$CU109*Table1[[#This Row],[Male% (20-24)]]</f>
        <v>33.097643679026653</v>
      </c>
      <c r="DT109" s="1">
        <f>$AF109*Table1[[#This Row],[Total% (25-29)]]</f>
        <v>123.03388514154395</v>
      </c>
      <c r="DU109" s="1">
        <f>$CT109*Table1[[#This Row],[Female% (25-29)]]</f>
        <v>68.245020819828056</v>
      </c>
      <c r="DV109" s="1">
        <f>$CU109*Table1[[#This Row],[Male% (25-29)]]</f>
        <v>54.78886432171587</v>
      </c>
      <c r="DW109" s="1">
        <f>$AF109*Table1[[#This Row],[Total%   (30-34)]]</f>
        <v>96.521649097875525</v>
      </c>
      <c r="DX109" s="1">
        <f>$CT109*Table1[[#This Row],[Female%   (30-34)]]</f>
        <v>65.317233006672154</v>
      </c>
      <c r="DY109" s="1">
        <f>$CU109*Table1[[#This Row],[Male%  (30-34)]]</f>
        <v>31.204416091203374</v>
      </c>
      <c r="DZ109" s="1">
        <f>$AF109*Table1[[#This Row],[Total% (35-39)]]</f>
        <v>125.13314354766602</v>
      </c>
      <c r="EA109" s="1">
        <f>$CT109*Table1[[#This Row],[Female% (35-39)]]</f>
        <v>43.096042585861191</v>
      </c>
      <c r="EB109" s="1">
        <f>$CU109*Table1[[#This Row],[Male% (35-39)]]</f>
        <v>82.037100961805223</v>
      </c>
      <c r="EC109" s="1">
        <f>$AF109*Table1[[#This Row],[Total% (40-44)]]</f>
        <v>72.310824880849921</v>
      </c>
      <c r="ED109" s="1">
        <f>$CT109*Table1[[#This Row],[Female% (40-44)]]</f>
        <v>31.327259102626968</v>
      </c>
      <c r="EE109" s="1">
        <f>$CU109*Table1[[#This Row],[Male%(55-59)]]</f>
        <v>40.983565778222939</v>
      </c>
      <c r="EF109" s="1">
        <f>$AF109*Table1[[#This Row],[Total% (45-49)]]</f>
        <v>76.554989239663385</v>
      </c>
      <c r="EG109" s="1">
        <f>$CT109*Table1[[#This Row],[Female% (45-49)]]</f>
        <v>46.165884153977551</v>
      </c>
      <c r="EH109" s="1">
        <f>$CU109*Table1[[#This Row],[Male% (45-49)]]</f>
        <v>30.389105085685689</v>
      </c>
      <c r="EI109" s="1">
        <f>$AF109*Table1[[#This Row],[Total% (50-54)]]</f>
        <v>53.248656177051082</v>
      </c>
      <c r="EJ109" s="1">
        <f>$CT109*Table1[[#This Row],[Female%(50-54)]]</f>
        <v>13.157420623846749</v>
      </c>
      <c r="EK109" s="1">
        <f>$CU109*Table1[[#This Row],[Male% (50-54)]]</f>
        <v>40.091235553204363</v>
      </c>
      <c r="EL109" s="1">
        <f>$AF109*Table1[[#This Row],[Total% (55-59)]]</f>
        <v>50.146209218528121</v>
      </c>
      <c r="EM109" s="1">
        <f>$CT109*Table1[[#This Row],[Female% (55-59)]]</f>
        <v>23.183490051188521</v>
      </c>
      <c r="EN109" s="1">
        <f>$CU109*Table1[[#This Row],[Male% (55-59)]]</f>
        <v>26.96271916733966</v>
      </c>
      <c r="EO109" s="1">
        <f>$AF109*Table1[[#This Row],[Total% (60-64)]]</f>
        <v>16.603017285729663</v>
      </c>
      <c r="EP109" s="1">
        <f>$CT109*Table1[[#This Row],[Female%(60-64)]]</f>
        <v>7.4777378603768279</v>
      </c>
      <c r="EQ109" s="1">
        <f>$CU109*Table1[[#This Row],[Male%(60-64)]]</f>
        <v>9.1252794253528435</v>
      </c>
      <c r="ER109" s="1">
        <f>$AF109*Table1[[#This Row],[Total% (&gt;=65)]]</f>
        <v>18.414290784152715</v>
      </c>
      <c r="ES109" s="1">
        <f>$CT109*Table1[[#This Row],[Female%(&gt;=65)]]</f>
        <v>0</v>
      </c>
      <c r="ET109" s="1">
        <f>$CU109*Table1[[#This Row],[Male% (&gt;=65)]]</f>
        <v>18.414290784152715</v>
      </c>
    </row>
    <row r="110" spans="1:150" hidden="1" x14ac:dyDescent="0.35">
      <c r="A110" t="s">
        <v>168</v>
      </c>
      <c r="B110" t="s">
        <v>169</v>
      </c>
      <c r="C110" t="s">
        <v>284</v>
      </c>
      <c r="D110" t="s">
        <v>285</v>
      </c>
      <c r="E110" t="s">
        <v>286</v>
      </c>
      <c r="F110" t="s">
        <v>287</v>
      </c>
      <c r="H110">
        <v>3</v>
      </c>
      <c r="I110" s="1">
        <v>0</v>
      </c>
      <c r="J110" s="1">
        <v>5965</v>
      </c>
      <c r="K110" s="1">
        <v>9451</v>
      </c>
      <c r="L110" s="1">
        <v>0</v>
      </c>
      <c r="M110" s="1">
        <v>0</v>
      </c>
      <c r="N110" s="1">
        <v>9451</v>
      </c>
      <c r="O110" s="3">
        <v>1</v>
      </c>
      <c r="P110" s="3">
        <v>0</v>
      </c>
      <c r="Q110" s="3">
        <v>0</v>
      </c>
      <c r="R110" s="3">
        <v>0</v>
      </c>
      <c r="S110" s="3">
        <v>0</v>
      </c>
      <c r="T110" s="1">
        <v>15416</v>
      </c>
      <c r="U110" s="1">
        <v>0</v>
      </c>
      <c r="V110" s="10">
        <f>Table1[[#This Row],[Pop NW+RATAA]]*Table1[[#This Row],[Perc_pop_Northern_Aleppo]]</f>
        <v>0</v>
      </c>
      <c r="W110" s="10">
        <f>Table1[[#This Row],[Pop NW+RATAA]]*Table1[[#This Row],[Perc_pop_Afrin District]]</f>
        <v>0</v>
      </c>
      <c r="X110" s="10">
        <f>Table1[[#This Row],[Pop NW+RATAA]]*Table1[[#This Row],[Perc_pop_Euphrates Shiled]]</f>
        <v>0</v>
      </c>
      <c r="Y110" s="10">
        <f>Table1[[#This Row],[Pop NW+RATAA]]*Table1[[#This Row],[Perc_Pop_Idleb_NSAG]]</f>
        <v>0</v>
      </c>
      <c r="Z110" s="3">
        <v>0</v>
      </c>
      <c r="AA110" s="3">
        <v>0</v>
      </c>
      <c r="AB110" s="3">
        <v>0</v>
      </c>
      <c r="AC110" s="3">
        <v>0</v>
      </c>
      <c r="AD110" s="1">
        <v>9451</v>
      </c>
      <c r="AE110" s="1">
        <v>0</v>
      </c>
      <c r="AF110" s="1">
        <v>0</v>
      </c>
      <c r="AG110" s="1">
        <v>0</v>
      </c>
      <c r="AH110" s="1">
        <v>0</v>
      </c>
      <c r="AI110" s="1">
        <f>Table1[[#This Row],[NWS_pin]]*Table1[[#This Row],[Perc_pop_Northern_Aleppo]]</f>
        <v>0</v>
      </c>
      <c r="AJ110" s="1">
        <f>Table1[[#This Row],[NWS_pin]]*Table1[[#This Row],[Perc_pop_Afrin District]]</f>
        <v>0</v>
      </c>
      <c r="AK110" s="1">
        <f>Table1[[#This Row],[NWS_pin]]*Table1[[#This Row],[Perc_pop_Euphrates Shiled]]</f>
        <v>0</v>
      </c>
      <c r="AL110" s="1">
        <f>Table1[[#This Row],[NWS_pin]]*Table1[[#This Row],[Perc_Pop_Idleb_NSAG]]</f>
        <v>0</v>
      </c>
      <c r="AM110" s="4">
        <v>0.50604914031430603</v>
      </c>
      <c r="AN110" s="4">
        <v>0.49395085968569402</v>
      </c>
      <c r="AO110" s="4">
        <v>9.9247791070451202E-2</v>
      </c>
      <c r="AP110" s="4">
        <v>0.48146728766730901</v>
      </c>
      <c r="AQ110" s="4">
        <v>0.46576936164586402</v>
      </c>
      <c r="AR110" s="4">
        <v>1.18063772916878E-2</v>
      </c>
      <c r="AS110" s="4">
        <v>0</v>
      </c>
      <c r="AT110" s="4">
        <v>4.0956973395139297E-2</v>
      </c>
      <c r="AU110" s="4">
        <v>3.4121668810179202E-2</v>
      </c>
      <c r="AV110" s="4">
        <v>4.5975340063163998E-2</v>
      </c>
      <c r="AW110" s="4">
        <v>2.1977666973724601E-2</v>
      </c>
      <c r="AX110" s="4">
        <v>7.3516177871264396E-2</v>
      </c>
      <c r="AY110" s="4">
        <v>6.4069393986018006E-2</v>
      </c>
      <c r="AZ110" s="4">
        <v>8.3194340729217303E-2</v>
      </c>
      <c r="BA110" s="4">
        <v>7.9089076044024306E-2</v>
      </c>
      <c r="BB110" s="4">
        <v>5.3344735976202103E-2</v>
      </c>
      <c r="BC110" s="4">
        <v>0.1054639692218</v>
      </c>
      <c r="BD110" s="4">
        <v>7.4132562799491597E-2</v>
      </c>
      <c r="BE110" s="4">
        <v>7.0260685945445295E-2</v>
      </c>
      <c r="BF110" s="4">
        <v>7.8099273080428799E-2</v>
      </c>
      <c r="BG110" s="4">
        <v>6.3540428895131604E-2</v>
      </c>
      <c r="BH110" s="4">
        <v>6.1938798446809801E-2</v>
      </c>
      <c r="BI110" s="4">
        <v>6.5181287890680603E-2</v>
      </c>
      <c r="BJ110" s="4">
        <v>8.5735342505559101E-2</v>
      </c>
      <c r="BK110" s="4">
        <v>9.3427079537058505E-2</v>
      </c>
      <c r="BL110" s="4">
        <v>7.7855212658653306E-2</v>
      </c>
      <c r="BM110" s="4">
        <v>4.6922259099764801E-2</v>
      </c>
      <c r="BN110" s="4">
        <v>5.12358390453772E-2</v>
      </c>
      <c r="BO110" s="4">
        <v>4.25030271451061E-2</v>
      </c>
      <c r="BP110" s="4">
        <v>8.0028317622468106E-2</v>
      </c>
      <c r="BQ110" s="4">
        <v>8.1005145747655702E-2</v>
      </c>
      <c r="BR110" s="4">
        <v>7.9027564160270403E-2</v>
      </c>
      <c r="BS110" s="4">
        <v>8.4788000011298506E-2</v>
      </c>
      <c r="BT110" s="4">
        <v>8.4041996472526304E-2</v>
      </c>
      <c r="BU110" s="4">
        <v>8.5552275327485397E-2</v>
      </c>
      <c r="BV110" s="4">
        <v>4.9065370135367999E-2</v>
      </c>
      <c r="BW110" s="4">
        <v>5.52904946503446E-2</v>
      </c>
      <c r="BX110" s="4">
        <v>4.26877743738018E-2</v>
      </c>
      <c r="BY110" s="4">
        <v>5.9438840451662103E-2</v>
      </c>
      <c r="BZ110" s="4">
        <v>6.22762504683897E-2</v>
      </c>
      <c r="CA110" s="4">
        <v>5.6531934083287903E-2</v>
      </c>
      <c r="CB110" s="4">
        <v>4.9964730752398302E-2</v>
      </c>
      <c r="CC110" s="4">
        <v>5.4329376780567998E-2</v>
      </c>
      <c r="CD110" s="4">
        <v>4.54931819595953E-2</v>
      </c>
      <c r="CE110" s="4">
        <v>6.9058357004413096E-2</v>
      </c>
      <c r="CF110" s="4">
        <v>7.6505004181150305E-2</v>
      </c>
      <c r="CG110" s="4">
        <v>6.1429319969414101E-2</v>
      </c>
      <c r="CH110" s="4">
        <v>3.4347834151986403E-2</v>
      </c>
      <c r="CI110" s="4">
        <v>4.8094216420784403E-2</v>
      </c>
      <c r="CJ110" s="4">
        <v>2.0264763350199701E-2</v>
      </c>
      <c r="CK110" s="4">
        <v>5.2810188132367403E-2</v>
      </c>
      <c r="CL110" s="4">
        <v>5.2670762218590898E-2</v>
      </c>
      <c r="CM110" s="4">
        <v>5.29530289887414E-2</v>
      </c>
      <c r="CN110" s="4">
        <v>2.5416736482295199E-2</v>
      </c>
      <c r="CO110" s="4">
        <v>1.2554324296454899E-2</v>
      </c>
      <c r="CP110" s="4">
        <v>3.8594186225280797E-2</v>
      </c>
      <c r="CQ110" s="4">
        <v>3.8024109230327799E-2</v>
      </c>
      <c r="CR110" s="4">
        <v>3.2980555763460297E-2</v>
      </c>
      <c r="CS110" s="4">
        <v>4.3191193862312398E-2</v>
      </c>
      <c r="CT110" s="1">
        <f>Table1[[#This Row],[Female %]]*Table1[[#This Row],[NWS_pin]]</f>
        <v>0</v>
      </c>
      <c r="CU110" s="1">
        <f>Table1[[#This Row],[Male %]]*Table1[[#This Row],[NWS_pin]]</f>
        <v>0</v>
      </c>
      <c r="CV110" s="1">
        <f>Table1[[#This Row],[Female% (0-2)22]]+Table1[[#This Row],[Male%(0-2)3]]</f>
        <v>0</v>
      </c>
      <c r="CW110" s="1">
        <f>$CT110*Table1[[#This Row],[Female% (0-2)]]</f>
        <v>0</v>
      </c>
      <c r="CX110" s="1">
        <f>$CU110*Table1[[#This Row],[Male%(0-2)]]</f>
        <v>0</v>
      </c>
      <c r="CY110" s="1">
        <f>Table1[[#This Row],[Female%  (3-5)5]]+Table1[[#This Row],[Male% (3-5)6]]</f>
        <v>0</v>
      </c>
      <c r="CZ110" s="1">
        <f>$AF110*Table1[[#This Row],[Female%  (3-5)]]</f>
        <v>0</v>
      </c>
      <c r="DA110" s="1">
        <f>$CU110*Table1[[#This Row],[Male% (3-5)]]</f>
        <v>0</v>
      </c>
      <c r="DB110" s="1">
        <f>Table1[[#This Row],[Female% (6-8)8]]+Table1[[#This Row],[Male%(6-8)9]]</f>
        <v>0</v>
      </c>
      <c r="DC110" s="1">
        <f>$CT110*Table1[[#This Row],[Female% (6-8)]]</f>
        <v>0</v>
      </c>
      <c r="DD110" s="1">
        <f>$CU110*Table1[[#This Row],[Male%(6-8)]]</f>
        <v>0</v>
      </c>
      <c r="DE110" s="1">
        <f>Table1[[#This Row],[Female% (9 - 11)11]]+Table1[[#This Row],[Male% (9 - 11)12]]</f>
        <v>0</v>
      </c>
      <c r="DF110" s="1">
        <f>$CT110*Table1[[#This Row],[Female% (9 - 11)]]</f>
        <v>0</v>
      </c>
      <c r="DG110" s="1">
        <f>$CU110*Table1[[#This Row],[Male% (9 - 11)]]</f>
        <v>0</v>
      </c>
      <c r="DH110" s="1">
        <f>Table1[[#This Row],[Female% (12-14)14]]+Table1[[#This Row],[Male%(12-14)15]]</f>
        <v>0</v>
      </c>
      <c r="DI110" s="1">
        <f>$CT110*Table1[[#This Row],[Female% (12-14)]]</f>
        <v>0</v>
      </c>
      <c r="DJ110" s="1">
        <f>$CU110*Table1[[#This Row],[Male%(12-14)]]</f>
        <v>0</v>
      </c>
      <c r="DK110" s="1">
        <f>Table1[[#This Row],[Female% (15-17)17]]+Table1[[#This Row],[Male%(15-17)18]]</f>
        <v>0</v>
      </c>
      <c r="DL110" s="1">
        <f>$CT110*Table1[[#This Row],[Female% (15-17)]]</f>
        <v>0</v>
      </c>
      <c r="DM110" s="1">
        <f>$CU110*Table1[[#This Row],[Male%(15-17)]]</f>
        <v>0</v>
      </c>
      <c r="DN110" s="1">
        <f>$AF110*Table1[[#This Row],[Total% (18-19)]]</f>
        <v>0</v>
      </c>
      <c r="DO110" s="1">
        <f>$CT110*Table1[[#This Row],[Female% (18-19)]]</f>
        <v>0</v>
      </c>
      <c r="DP110" s="1">
        <f>$CU110*Table1[[#This Row],[Male%(18-19)]]</f>
        <v>0</v>
      </c>
      <c r="DQ110" s="1">
        <f>$AF110*Table1[[#This Row],[Total% (20-24)]]</f>
        <v>0</v>
      </c>
      <c r="DR110" s="1">
        <f>$CT110*Table1[[#This Row],[Female% (20-24)]]</f>
        <v>0</v>
      </c>
      <c r="DS110" s="1">
        <f>$CU110*Table1[[#This Row],[Male% (20-24)]]</f>
        <v>0</v>
      </c>
      <c r="DT110" s="1">
        <f>$AF110*Table1[[#This Row],[Total% (25-29)]]</f>
        <v>0</v>
      </c>
      <c r="DU110" s="1">
        <f>$CT110*Table1[[#This Row],[Female% (25-29)]]</f>
        <v>0</v>
      </c>
      <c r="DV110" s="1">
        <f>$CU110*Table1[[#This Row],[Male% (25-29)]]</f>
        <v>0</v>
      </c>
      <c r="DW110" s="1">
        <f>$AF110*Table1[[#This Row],[Total%   (30-34)]]</f>
        <v>0</v>
      </c>
      <c r="DX110" s="1">
        <f>$CT110*Table1[[#This Row],[Female%   (30-34)]]</f>
        <v>0</v>
      </c>
      <c r="DY110" s="1">
        <f>$CU110*Table1[[#This Row],[Male%  (30-34)]]</f>
        <v>0</v>
      </c>
      <c r="DZ110" s="1">
        <f>$AF110*Table1[[#This Row],[Total% (35-39)]]</f>
        <v>0</v>
      </c>
      <c r="EA110" s="1">
        <f>$CT110*Table1[[#This Row],[Female% (35-39)]]</f>
        <v>0</v>
      </c>
      <c r="EB110" s="1">
        <f>$CU110*Table1[[#This Row],[Male% (35-39)]]</f>
        <v>0</v>
      </c>
      <c r="EC110" s="1">
        <f>$AF110*Table1[[#This Row],[Total% (40-44)]]</f>
        <v>0</v>
      </c>
      <c r="ED110" s="1">
        <f>$CT110*Table1[[#This Row],[Female% (40-44)]]</f>
        <v>0</v>
      </c>
      <c r="EE110" s="1">
        <f>$CU110*Table1[[#This Row],[Male%(55-59)]]</f>
        <v>0</v>
      </c>
      <c r="EF110" s="1">
        <f>$AF110*Table1[[#This Row],[Total% (45-49)]]</f>
        <v>0</v>
      </c>
      <c r="EG110" s="1">
        <f>$CT110*Table1[[#This Row],[Female% (45-49)]]</f>
        <v>0</v>
      </c>
      <c r="EH110" s="1">
        <f>$CU110*Table1[[#This Row],[Male% (45-49)]]</f>
        <v>0</v>
      </c>
      <c r="EI110" s="1">
        <f>$AF110*Table1[[#This Row],[Total% (50-54)]]</f>
        <v>0</v>
      </c>
      <c r="EJ110" s="1">
        <f>$CT110*Table1[[#This Row],[Female%(50-54)]]</f>
        <v>0</v>
      </c>
      <c r="EK110" s="1">
        <f>$CU110*Table1[[#This Row],[Male% (50-54)]]</f>
        <v>0</v>
      </c>
      <c r="EL110" s="1">
        <f>$AF110*Table1[[#This Row],[Total% (55-59)]]</f>
        <v>0</v>
      </c>
      <c r="EM110" s="1">
        <f>$CT110*Table1[[#This Row],[Female% (55-59)]]</f>
        <v>0</v>
      </c>
      <c r="EN110" s="1">
        <f>$CU110*Table1[[#This Row],[Male% (55-59)]]</f>
        <v>0</v>
      </c>
      <c r="EO110" s="1">
        <f>$AF110*Table1[[#This Row],[Total% (60-64)]]</f>
        <v>0</v>
      </c>
      <c r="EP110" s="1">
        <f>$CT110*Table1[[#This Row],[Female%(60-64)]]</f>
        <v>0</v>
      </c>
      <c r="EQ110" s="1">
        <f>$CU110*Table1[[#This Row],[Male%(60-64)]]</f>
        <v>0</v>
      </c>
      <c r="ER110" s="1">
        <f>$AF110*Table1[[#This Row],[Total% (&gt;=65)]]</f>
        <v>0</v>
      </c>
      <c r="ES110" s="1">
        <f>$CT110*Table1[[#This Row],[Female%(&gt;=65)]]</f>
        <v>0</v>
      </c>
      <c r="ET110" s="1">
        <f>$CU110*Table1[[#This Row],[Male% (&gt;=65)]]</f>
        <v>0</v>
      </c>
    </row>
    <row r="111" spans="1:150" x14ac:dyDescent="0.35">
      <c r="A111" t="s">
        <v>168</v>
      </c>
      <c r="B111" t="s">
        <v>169</v>
      </c>
      <c r="C111" t="s">
        <v>284</v>
      </c>
      <c r="D111" t="s">
        <v>285</v>
      </c>
      <c r="E111" t="s">
        <v>557</v>
      </c>
      <c r="F111" t="s">
        <v>558</v>
      </c>
      <c r="G111" t="s">
        <v>1143</v>
      </c>
      <c r="H111">
        <v>3</v>
      </c>
      <c r="I111" s="1">
        <v>0</v>
      </c>
      <c r="J111" s="1">
        <v>4567</v>
      </c>
      <c r="K111" s="1">
        <v>3706</v>
      </c>
      <c r="L111" s="1">
        <v>86</v>
      </c>
      <c r="M111" s="1">
        <v>0</v>
      </c>
      <c r="N111" s="1">
        <v>3792</v>
      </c>
      <c r="O111" s="3">
        <v>1</v>
      </c>
      <c r="P111" s="3">
        <v>0</v>
      </c>
      <c r="Q111" s="3">
        <v>0</v>
      </c>
      <c r="R111" s="3">
        <v>0</v>
      </c>
      <c r="S111" s="3">
        <v>0</v>
      </c>
      <c r="T111" s="1">
        <v>8359</v>
      </c>
      <c r="U111" s="1">
        <v>0</v>
      </c>
      <c r="V111" s="10">
        <f>Table1[[#This Row],[Pop NW+RATAA]]*Table1[[#This Row],[Perc_pop_Northern_Aleppo]]</f>
        <v>0</v>
      </c>
      <c r="W111" s="10">
        <f>Table1[[#This Row],[Pop NW+RATAA]]*Table1[[#This Row],[Perc_pop_Afrin District]]</f>
        <v>0</v>
      </c>
      <c r="X111" s="10">
        <f>Table1[[#This Row],[Pop NW+RATAA]]*Table1[[#This Row],[Perc_pop_Euphrates Shiled]]</f>
        <v>0</v>
      </c>
      <c r="Y111" s="10">
        <f>Table1[[#This Row],[Pop NW+RATAA]]*Table1[[#This Row],[Perc_Pop_Idleb_NSAG]]</f>
        <v>0</v>
      </c>
      <c r="Z111" s="3">
        <v>0</v>
      </c>
      <c r="AA111" s="3">
        <v>0</v>
      </c>
      <c r="AB111" s="3">
        <v>0</v>
      </c>
      <c r="AC111" s="3">
        <v>0</v>
      </c>
      <c r="AD111" s="1">
        <v>3792</v>
      </c>
      <c r="AE111" s="1">
        <v>0</v>
      </c>
      <c r="AF111" s="1">
        <v>0</v>
      </c>
      <c r="AG111" s="1">
        <v>0</v>
      </c>
      <c r="AH111" s="1">
        <v>0</v>
      </c>
      <c r="AI111" s="1">
        <f>Table1[[#This Row],[NWS_pin]]*Table1[[#This Row],[Perc_pop_Northern_Aleppo]]</f>
        <v>0</v>
      </c>
      <c r="AJ111" s="1">
        <f>Table1[[#This Row],[NWS_pin]]*Table1[[#This Row],[Perc_pop_Afrin District]]</f>
        <v>0</v>
      </c>
      <c r="AK111" s="1">
        <f>Table1[[#This Row],[NWS_pin]]*Table1[[#This Row],[Perc_pop_Euphrates Shiled]]</f>
        <v>0</v>
      </c>
      <c r="AL111" s="1">
        <f>Table1[[#This Row],[NWS_pin]]*Table1[[#This Row],[Perc_Pop_Idleb_NSAG]]</f>
        <v>0</v>
      </c>
      <c r="AM111" s="4">
        <v>0.52517539237225297</v>
      </c>
      <c r="AN111" s="4">
        <v>0.47482460762774698</v>
      </c>
      <c r="AO111" s="4">
        <v>0.26127159444916498</v>
      </c>
      <c r="AP111" s="4">
        <v>0.41372737698219197</v>
      </c>
      <c r="AQ111" s="4">
        <v>0.53382237278603095</v>
      </c>
      <c r="AR111" s="4">
        <v>2.9834482334383499E-3</v>
      </c>
      <c r="AS111" s="4">
        <v>1.06020062481051E-2</v>
      </c>
      <c r="AT111" s="4">
        <v>3.8864795750234001E-2</v>
      </c>
      <c r="AU111" s="4">
        <v>7.4688265835327297E-2</v>
      </c>
      <c r="AV111" s="4">
        <v>6.7595021965570004E-2</v>
      </c>
      <c r="AW111" s="4">
        <v>8.2533683011794007E-2</v>
      </c>
      <c r="AX111" s="4">
        <v>7.2325660453124399E-2</v>
      </c>
      <c r="AY111" s="4">
        <v>7.4893415573678804E-2</v>
      </c>
      <c r="AZ111" s="4">
        <v>6.9485618506498398E-2</v>
      </c>
      <c r="BA111" s="4">
        <v>3.9617402170596103E-2</v>
      </c>
      <c r="BB111" s="4">
        <v>2.5851467752776601E-2</v>
      </c>
      <c r="BC111" s="4">
        <v>5.48430873880668E-2</v>
      </c>
      <c r="BD111" s="4">
        <v>5.61900695915762E-2</v>
      </c>
      <c r="BE111" s="4">
        <v>6.2941743968266906E-2</v>
      </c>
      <c r="BF111" s="4">
        <v>4.8722442212988402E-2</v>
      </c>
      <c r="BG111" s="4">
        <v>7.0598012062733195E-2</v>
      </c>
      <c r="BH111" s="4">
        <v>8.05473243133948E-2</v>
      </c>
      <c r="BI111" s="4">
        <v>5.9593666708392001E-2</v>
      </c>
      <c r="BJ111" s="4">
        <v>6.7669309179839904E-2</v>
      </c>
      <c r="BK111" s="4">
        <v>6.5941565925003706E-2</v>
      </c>
      <c r="BL111" s="4">
        <v>6.9580263724319802E-2</v>
      </c>
      <c r="BM111" s="4">
        <v>4.2050316717417303E-2</v>
      </c>
      <c r="BN111" s="4">
        <v>3.47977966801142E-2</v>
      </c>
      <c r="BO111" s="4">
        <v>5.0071899834828799E-2</v>
      </c>
      <c r="BP111" s="4">
        <v>7.5667157864370005E-2</v>
      </c>
      <c r="BQ111" s="4">
        <v>8.1815019950506704E-2</v>
      </c>
      <c r="BR111" s="4">
        <v>6.8867371519116899E-2</v>
      </c>
      <c r="BS111" s="4">
        <v>8.0254287228158999E-2</v>
      </c>
      <c r="BT111" s="4">
        <v>7.6056907595546397E-2</v>
      </c>
      <c r="BU111" s="4">
        <v>8.4896760385786099E-2</v>
      </c>
      <c r="BV111" s="4">
        <v>5.0129347117795403E-2</v>
      </c>
      <c r="BW111" s="4">
        <v>4.6429266447954101E-2</v>
      </c>
      <c r="BX111" s="4">
        <v>5.4221787329142498E-2</v>
      </c>
      <c r="BY111" s="4">
        <v>7.8476262683737003E-2</v>
      </c>
      <c r="BZ111" s="4">
        <v>7.7658606873574093E-2</v>
      </c>
      <c r="CA111" s="4">
        <v>7.9380623376147597E-2</v>
      </c>
      <c r="CB111" s="4">
        <v>5.3032680714486101E-2</v>
      </c>
      <c r="CC111" s="4">
        <v>5.5910415254857203E-2</v>
      </c>
      <c r="CD111" s="4">
        <v>4.9849788880102899E-2</v>
      </c>
      <c r="CE111" s="4">
        <v>6.4281784635055503E-2</v>
      </c>
      <c r="CF111" s="4">
        <v>5.8309168675979198E-2</v>
      </c>
      <c r="CG111" s="4">
        <v>7.0887741612449207E-2</v>
      </c>
      <c r="CH111" s="4">
        <v>4.4864857812399198E-2</v>
      </c>
      <c r="CI111" s="4">
        <v>6.4262576548251807E-2</v>
      </c>
      <c r="CJ111" s="4">
        <v>2.34101893209663E-2</v>
      </c>
      <c r="CK111" s="4">
        <v>3.7940129934235602E-2</v>
      </c>
      <c r="CL111" s="4">
        <v>2.08793680982357E-2</v>
      </c>
      <c r="CM111" s="4">
        <v>5.6810028729403203E-2</v>
      </c>
      <c r="CN111" s="4">
        <v>2.0200475347939801E-2</v>
      </c>
      <c r="CO111" s="4">
        <v>2.5426372209792901E-2</v>
      </c>
      <c r="CP111" s="4">
        <v>1.44204201637057E-2</v>
      </c>
      <c r="CQ111" s="4">
        <v>7.2013980651207801E-2</v>
      </c>
      <c r="CR111" s="4">
        <v>8.0683962166496703E-2</v>
      </c>
      <c r="CS111" s="4">
        <v>6.2424627296291398E-2</v>
      </c>
      <c r="CT111" s="1">
        <f>Table1[[#This Row],[Female %]]*Table1[[#This Row],[NWS_pin]]</f>
        <v>0</v>
      </c>
      <c r="CU111" s="1">
        <f>Table1[[#This Row],[Male %]]*Table1[[#This Row],[NWS_pin]]</f>
        <v>0</v>
      </c>
      <c r="CV111" s="1">
        <f>Table1[[#This Row],[Female% (0-2)22]]+Table1[[#This Row],[Male%(0-2)3]]</f>
        <v>0</v>
      </c>
      <c r="CW111" s="1">
        <f>$CT111*Table1[[#This Row],[Female% (0-2)]]</f>
        <v>0</v>
      </c>
      <c r="CX111" s="1">
        <f>$CU111*Table1[[#This Row],[Male%(0-2)]]</f>
        <v>0</v>
      </c>
      <c r="CY111" s="1">
        <f>Table1[[#This Row],[Female%  (3-5)5]]+Table1[[#This Row],[Male% (3-5)6]]</f>
        <v>0</v>
      </c>
      <c r="CZ111" s="1">
        <f>$AF111*Table1[[#This Row],[Female%  (3-5)]]</f>
        <v>0</v>
      </c>
      <c r="DA111" s="1">
        <f>$CU111*Table1[[#This Row],[Male% (3-5)]]</f>
        <v>0</v>
      </c>
      <c r="DB111" s="1">
        <f>Table1[[#This Row],[Female% (6-8)8]]+Table1[[#This Row],[Male%(6-8)9]]</f>
        <v>0</v>
      </c>
      <c r="DC111" s="1">
        <f>$CT111*Table1[[#This Row],[Female% (6-8)]]</f>
        <v>0</v>
      </c>
      <c r="DD111" s="1">
        <f>$CU111*Table1[[#This Row],[Male%(6-8)]]</f>
        <v>0</v>
      </c>
      <c r="DE111" s="1">
        <f>Table1[[#This Row],[Female% (9 - 11)11]]+Table1[[#This Row],[Male% (9 - 11)12]]</f>
        <v>0</v>
      </c>
      <c r="DF111" s="1">
        <f>$CT111*Table1[[#This Row],[Female% (9 - 11)]]</f>
        <v>0</v>
      </c>
      <c r="DG111" s="1">
        <f>$CU111*Table1[[#This Row],[Male% (9 - 11)]]</f>
        <v>0</v>
      </c>
      <c r="DH111" s="1">
        <f>Table1[[#This Row],[Female% (12-14)14]]+Table1[[#This Row],[Male%(12-14)15]]</f>
        <v>0</v>
      </c>
      <c r="DI111" s="1">
        <f>$CT111*Table1[[#This Row],[Female% (12-14)]]</f>
        <v>0</v>
      </c>
      <c r="DJ111" s="1">
        <f>$CU111*Table1[[#This Row],[Male%(12-14)]]</f>
        <v>0</v>
      </c>
      <c r="DK111" s="1">
        <f>Table1[[#This Row],[Female% (15-17)17]]+Table1[[#This Row],[Male%(15-17)18]]</f>
        <v>0</v>
      </c>
      <c r="DL111" s="1">
        <f>$CT111*Table1[[#This Row],[Female% (15-17)]]</f>
        <v>0</v>
      </c>
      <c r="DM111" s="1">
        <f>$CU111*Table1[[#This Row],[Male%(15-17)]]</f>
        <v>0</v>
      </c>
      <c r="DN111" s="1">
        <f>$AF111*Table1[[#This Row],[Total% (18-19)]]</f>
        <v>0</v>
      </c>
      <c r="DO111" s="1">
        <f>$CT111*Table1[[#This Row],[Female% (18-19)]]</f>
        <v>0</v>
      </c>
      <c r="DP111" s="1">
        <f>$CU111*Table1[[#This Row],[Male%(18-19)]]</f>
        <v>0</v>
      </c>
      <c r="DQ111" s="1">
        <f>$AF111*Table1[[#This Row],[Total% (20-24)]]</f>
        <v>0</v>
      </c>
      <c r="DR111" s="1">
        <f>$CT111*Table1[[#This Row],[Female% (20-24)]]</f>
        <v>0</v>
      </c>
      <c r="DS111" s="1">
        <f>$CU111*Table1[[#This Row],[Male% (20-24)]]</f>
        <v>0</v>
      </c>
      <c r="DT111" s="1">
        <f>$AF111*Table1[[#This Row],[Total% (25-29)]]</f>
        <v>0</v>
      </c>
      <c r="DU111" s="1">
        <f>$CT111*Table1[[#This Row],[Female% (25-29)]]</f>
        <v>0</v>
      </c>
      <c r="DV111" s="1">
        <f>$CU111*Table1[[#This Row],[Male% (25-29)]]</f>
        <v>0</v>
      </c>
      <c r="DW111" s="1">
        <f>$AF111*Table1[[#This Row],[Total%   (30-34)]]</f>
        <v>0</v>
      </c>
      <c r="DX111" s="1">
        <f>$CT111*Table1[[#This Row],[Female%   (30-34)]]</f>
        <v>0</v>
      </c>
      <c r="DY111" s="1">
        <f>$CU111*Table1[[#This Row],[Male%  (30-34)]]</f>
        <v>0</v>
      </c>
      <c r="DZ111" s="1">
        <f>$AF111*Table1[[#This Row],[Total% (35-39)]]</f>
        <v>0</v>
      </c>
      <c r="EA111" s="1">
        <f>$CT111*Table1[[#This Row],[Female% (35-39)]]</f>
        <v>0</v>
      </c>
      <c r="EB111" s="1">
        <f>$CU111*Table1[[#This Row],[Male% (35-39)]]</f>
        <v>0</v>
      </c>
      <c r="EC111" s="1">
        <f>$AF111*Table1[[#This Row],[Total% (40-44)]]</f>
        <v>0</v>
      </c>
      <c r="ED111" s="1">
        <f>$CT111*Table1[[#This Row],[Female% (40-44)]]</f>
        <v>0</v>
      </c>
      <c r="EE111" s="1">
        <f>$CU111*Table1[[#This Row],[Male%(55-59)]]</f>
        <v>0</v>
      </c>
      <c r="EF111" s="1">
        <f>$AF111*Table1[[#This Row],[Total% (45-49)]]</f>
        <v>0</v>
      </c>
      <c r="EG111" s="1">
        <f>$CT111*Table1[[#This Row],[Female% (45-49)]]</f>
        <v>0</v>
      </c>
      <c r="EH111" s="1">
        <f>$CU111*Table1[[#This Row],[Male% (45-49)]]</f>
        <v>0</v>
      </c>
      <c r="EI111" s="1">
        <f>$AF111*Table1[[#This Row],[Total% (50-54)]]</f>
        <v>0</v>
      </c>
      <c r="EJ111" s="1">
        <f>$CT111*Table1[[#This Row],[Female%(50-54)]]</f>
        <v>0</v>
      </c>
      <c r="EK111" s="1">
        <f>$CU111*Table1[[#This Row],[Male% (50-54)]]</f>
        <v>0</v>
      </c>
      <c r="EL111" s="1">
        <f>$AF111*Table1[[#This Row],[Total% (55-59)]]</f>
        <v>0</v>
      </c>
      <c r="EM111" s="1">
        <f>$CT111*Table1[[#This Row],[Female% (55-59)]]</f>
        <v>0</v>
      </c>
      <c r="EN111" s="1">
        <f>$CU111*Table1[[#This Row],[Male% (55-59)]]</f>
        <v>0</v>
      </c>
      <c r="EO111" s="1">
        <f>$AF111*Table1[[#This Row],[Total% (60-64)]]</f>
        <v>0</v>
      </c>
      <c r="EP111" s="1">
        <f>$CT111*Table1[[#This Row],[Female%(60-64)]]</f>
        <v>0</v>
      </c>
      <c r="EQ111" s="1">
        <f>$CU111*Table1[[#This Row],[Male%(60-64)]]</f>
        <v>0</v>
      </c>
      <c r="ER111" s="1">
        <f>$AF111*Table1[[#This Row],[Total% (&gt;=65)]]</f>
        <v>0</v>
      </c>
      <c r="ES111" s="1">
        <f>$CT111*Table1[[#This Row],[Female%(&gt;=65)]]</f>
        <v>0</v>
      </c>
      <c r="ET111" s="1">
        <f>$CU111*Table1[[#This Row],[Male% (&gt;=65)]]</f>
        <v>0</v>
      </c>
    </row>
    <row r="112" spans="1:150" hidden="1" x14ac:dyDescent="0.35">
      <c r="A112" t="s">
        <v>168</v>
      </c>
      <c r="B112" t="s">
        <v>169</v>
      </c>
      <c r="C112" t="s">
        <v>233</v>
      </c>
      <c r="D112" t="s">
        <v>234</v>
      </c>
      <c r="E112" t="s">
        <v>233</v>
      </c>
      <c r="F112" t="s">
        <v>486</v>
      </c>
      <c r="H112">
        <v>3</v>
      </c>
      <c r="I112" s="1">
        <v>0</v>
      </c>
      <c r="J112" s="1">
        <v>47716</v>
      </c>
      <c r="K112" s="1">
        <v>191804</v>
      </c>
      <c r="L112" s="1">
        <v>0</v>
      </c>
      <c r="M112" s="1">
        <v>0</v>
      </c>
      <c r="N112" s="1">
        <v>191804</v>
      </c>
      <c r="O112" s="3">
        <v>1</v>
      </c>
      <c r="P112" s="3">
        <v>0</v>
      </c>
      <c r="Q112" s="3">
        <v>0</v>
      </c>
      <c r="R112" s="3">
        <v>0</v>
      </c>
      <c r="S112" s="3">
        <v>0</v>
      </c>
      <c r="T112" s="1">
        <v>239520</v>
      </c>
      <c r="U112" s="1">
        <v>0</v>
      </c>
      <c r="V112" s="10">
        <f>Table1[[#This Row],[Pop NW+RATAA]]*Table1[[#This Row],[Perc_pop_Northern_Aleppo]]</f>
        <v>0</v>
      </c>
      <c r="W112" s="10">
        <f>Table1[[#This Row],[Pop NW+RATAA]]*Table1[[#This Row],[Perc_pop_Afrin District]]</f>
        <v>0</v>
      </c>
      <c r="X112" s="10">
        <f>Table1[[#This Row],[Pop NW+RATAA]]*Table1[[#This Row],[Perc_pop_Euphrates Shiled]]</f>
        <v>0</v>
      </c>
      <c r="Y112" s="10">
        <f>Table1[[#This Row],[Pop NW+RATAA]]*Table1[[#This Row],[Perc_Pop_Idleb_NSAG]]</f>
        <v>0</v>
      </c>
      <c r="Z112" s="3">
        <v>0</v>
      </c>
      <c r="AA112" s="3">
        <v>0</v>
      </c>
      <c r="AB112" s="3">
        <v>0</v>
      </c>
      <c r="AC112" s="3">
        <v>0</v>
      </c>
      <c r="AD112" s="1">
        <v>191804</v>
      </c>
      <c r="AE112" s="1">
        <v>0</v>
      </c>
      <c r="AF112" s="1">
        <v>0</v>
      </c>
      <c r="AG112" s="1">
        <v>0</v>
      </c>
      <c r="AH112" s="1">
        <v>0</v>
      </c>
      <c r="AI112" s="1">
        <f>Table1[[#This Row],[NWS_pin]]*Table1[[#This Row],[Perc_pop_Northern_Aleppo]]</f>
        <v>0</v>
      </c>
      <c r="AJ112" s="1">
        <f>Table1[[#This Row],[NWS_pin]]*Table1[[#This Row],[Perc_pop_Afrin District]]</f>
        <v>0</v>
      </c>
      <c r="AK112" s="1">
        <f>Table1[[#This Row],[NWS_pin]]*Table1[[#This Row],[Perc_pop_Euphrates Shiled]]</f>
        <v>0</v>
      </c>
      <c r="AL112" s="1">
        <f>Table1[[#This Row],[NWS_pin]]*Table1[[#This Row],[Perc_Pop_Idleb_NSAG]]</f>
        <v>0</v>
      </c>
      <c r="AM112" s="4">
        <v>0.50135303186967795</v>
      </c>
      <c r="AN112" s="4">
        <v>0.498646968130322</v>
      </c>
      <c r="AO112" s="4">
        <v>7.8116382017256403E-2</v>
      </c>
      <c r="AP112" s="4">
        <v>0.39558626887841097</v>
      </c>
      <c r="AQ112" s="4">
        <v>0.53593506693394699</v>
      </c>
      <c r="AR112" s="4">
        <v>1.4151459564274899E-2</v>
      </c>
      <c r="AS112" s="4">
        <v>0</v>
      </c>
      <c r="AT112" s="4">
        <v>5.4327204623367299E-2</v>
      </c>
      <c r="AU112" s="4">
        <v>3.23444338708627E-2</v>
      </c>
      <c r="AV112" s="4">
        <v>3.6231128632739099E-2</v>
      </c>
      <c r="AW112" s="4">
        <v>2.8436646744180501E-2</v>
      </c>
      <c r="AX112" s="4">
        <v>8.4050566158404796E-2</v>
      </c>
      <c r="AY112" s="4">
        <v>0.100899863481047</v>
      </c>
      <c r="AZ112" s="4">
        <v>6.7109830853718494E-2</v>
      </c>
      <c r="BA112" s="4">
        <v>8.7364827922211105E-2</v>
      </c>
      <c r="BB112" s="4">
        <v>8.5809703780244495E-2</v>
      </c>
      <c r="BC112" s="4">
        <v>8.8928391431745898E-2</v>
      </c>
      <c r="BD112" s="4">
        <v>7.9823606230688501E-2</v>
      </c>
      <c r="BE112" s="4">
        <v>6.6716726579531996E-2</v>
      </c>
      <c r="BF112" s="4">
        <v>9.3001614463841795E-2</v>
      </c>
      <c r="BG112" s="4">
        <v>6.2096932128410498E-2</v>
      </c>
      <c r="BH112" s="4">
        <v>2.29999025076283E-2</v>
      </c>
      <c r="BI112" s="4">
        <v>0.101406134009199</v>
      </c>
      <c r="BJ112" s="4">
        <v>7.0741818259828698E-2</v>
      </c>
      <c r="BK112" s="4">
        <v>6.9089317532654806E-2</v>
      </c>
      <c r="BL112" s="4">
        <v>7.2403286799067698E-2</v>
      </c>
      <c r="BM112" s="4">
        <v>2.94454725021785E-2</v>
      </c>
      <c r="BN112" s="4">
        <v>1.8717172258945699E-2</v>
      </c>
      <c r="BO112" s="4">
        <v>4.0231993222278897E-2</v>
      </c>
      <c r="BP112" s="4">
        <v>4.5763714606947198E-2</v>
      </c>
      <c r="BQ112" s="4">
        <v>3.5111477637650199E-2</v>
      </c>
      <c r="BR112" s="4">
        <v>5.6473759271964602E-2</v>
      </c>
      <c r="BS112" s="4">
        <v>8.0214749852452E-2</v>
      </c>
      <c r="BT112" s="4">
        <v>0.110265531883117</v>
      </c>
      <c r="BU112" s="4">
        <v>5.0000887853814201E-2</v>
      </c>
      <c r="BV112" s="4">
        <v>0.10219741360885599</v>
      </c>
      <c r="BW112" s="4">
        <v>0.107477783444254</v>
      </c>
      <c r="BX112" s="4">
        <v>9.6888388194952699E-2</v>
      </c>
      <c r="BY112" s="4">
        <v>9.9224882534346803E-2</v>
      </c>
      <c r="BZ112" s="4">
        <v>0.10218338463289101</v>
      </c>
      <c r="CA112" s="4">
        <v>9.6250325198804804E-2</v>
      </c>
      <c r="CB112" s="4">
        <v>5.0857257923354798E-2</v>
      </c>
      <c r="CC112" s="4">
        <v>5.9170876272697702E-2</v>
      </c>
      <c r="CD112" s="4">
        <v>4.2498523123705702E-2</v>
      </c>
      <c r="CE112" s="4">
        <v>4.6413451584849198E-2</v>
      </c>
      <c r="CF112" s="4">
        <v>5.8224400177442001E-2</v>
      </c>
      <c r="CG112" s="4">
        <v>3.4538407185490297E-2</v>
      </c>
      <c r="CH112" s="4">
        <v>3.7609659642948601E-2</v>
      </c>
      <c r="CI112" s="4">
        <v>3.0818375860059002E-2</v>
      </c>
      <c r="CJ112" s="4">
        <v>4.4437798451463797E-2</v>
      </c>
      <c r="CK112" s="4">
        <v>2.8562041769705601E-2</v>
      </c>
      <c r="CL112" s="4">
        <v>3.01870757118647E-2</v>
      </c>
      <c r="CM112" s="4">
        <v>2.69281890725813E-2</v>
      </c>
      <c r="CN112" s="4">
        <v>2.41327057247126E-2</v>
      </c>
      <c r="CO112" s="4">
        <v>1.53658645721315E-2</v>
      </c>
      <c r="CP112" s="4">
        <v>3.2947122882900699E-2</v>
      </c>
      <c r="CQ112" s="4">
        <v>3.9156465679241997E-2</v>
      </c>
      <c r="CR112" s="4">
        <v>5.0731415035101701E-2</v>
      </c>
      <c r="CS112" s="4">
        <v>2.75187012402901E-2</v>
      </c>
      <c r="CT112" s="1">
        <f>Table1[[#This Row],[Female %]]*Table1[[#This Row],[NWS_pin]]</f>
        <v>0</v>
      </c>
      <c r="CU112" s="1">
        <f>Table1[[#This Row],[Male %]]*Table1[[#This Row],[NWS_pin]]</f>
        <v>0</v>
      </c>
      <c r="CV112" s="1">
        <f>Table1[[#This Row],[Female% (0-2)22]]+Table1[[#This Row],[Male%(0-2)3]]</f>
        <v>0</v>
      </c>
      <c r="CW112" s="1">
        <f>$CT112*Table1[[#This Row],[Female% (0-2)]]</f>
        <v>0</v>
      </c>
      <c r="CX112" s="1">
        <f>$CU112*Table1[[#This Row],[Male%(0-2)]]</f>
        <v>0</v>
      </c>
      <c r="CY112" s="1">
        <f>Table1[[#This Row],[Female%  (3-5)5]]+Table1[[#This Row],[Male% (3-5)6]]</f>
        <v>0</v>
      </c>
      <c r="CZ112" s="1">
        <f>$AF112*Table1[[#This Row],[Female%  (3-5)]]</f>
        <v>0</v>
      </c>
      <c r="DA112" s="1">
        <f>$CU112*Table1[[#This Row],[Male% (3-5)]]</f>
        <v>0</v>
      </c>
      <c r="DB112" s="1">
        <f>Table1[[#This Row],[Female% (6-8)8]]+Table1[[#This Row],[Male%(6-8)9]]</f>
        <v>0</v>
      </c>
      <c r="DC112" s="1">
        <f>$CT112*Table1[[#This Row],[Female% (6-8)]]</f>
        <v>0</v>
      </c>
      <c r="DD112" s="1">
        <f>$CU112*Table1[[#This Row],[Male%(6-8)]]</f>
        <v>0</v>
      </c>
      <c r="DE112" s="1">
        <f>Table1[[#This Row],[Female% (9 - 11)11]]+Table1[[#This Row],[Male% (9 - 11)12]]</f>
        <v>0</v>
      </c>
      <c r="DF112" s="1">
        <f>$CT112*Table1[[#This Row],[Female% (9 - 11)]]</f>
        <v>0</v>
      </c>
      <c r="DG112" s="1">
        <f>$CU112*Table1[[#This Row],[Male% (9 - 11)]]</f>
        <v>0</v>
      </c>
      <c r="DH112" s="1">
        <f>Table1[[#This Row],[Female% (12-14)14]]+Table1[[#This Row],[Male%(12-14)15]]</f>
        <v>0</v>
      </c>
      <c r="DI112" s="1">
        <f>$CT112*Table1[[#This Row],[Female% (12-14)]]</f>
        <v>0</v>
      </c>
      <c r="DJ112" s="1">
        <f>$CU112*Table1[[#This Row],[Male%(12-14)]]</f>
        <v>0</v>
      </c>
      <c r="DK112" s="1">
        <f>Table1[[#This Row],[Female% (15-17)17]]+Table1[[#This Row],[Male%(15-17)18]]</f>
        <v>0</v>
      </c>
      <c r="DL112" s="1">
        <f>$CT112*Table1[[#This Row],[Female% (15-17)]]</f>
        <v>0</v>
      </c>
      <c r="DM112" s="1">
        <f>$CU112*Table1[[#This Row],[Male%(15-17)]]</f>
        <v>0</v>
      </c>
      <c r="DN112" s="1">
        <f>$AF112*Table1[[#This Row],[Total% (18-19)]]</f>
        <v>0</v>
      </c>
      <c r="DO112" s="1">
        <f>$CT112*Table1[[#This Row],[Female% (18-19)]]</f>
        <v>0</v>
      </c>
      <c r="DP112" s="1">
        <f>$CU112*Table1[[#This Row],[Male%(18-19)]]</f>
        <v>0</v>
      </c>
      <c r="DQ112" s="1">
        <f>$AF112*Table1[[#This Row],[Total% (20-24)]]</f>
        <v>0</v>
      </c>
      <c r="DR112" s="1">
        <f>$CT112*Table1[[#This Row],[Female% (20-24)]]</f>
        <v>0</v>
      </c>
      <c r="DS112" s="1">
        <f>$CU112*Table1[[#This Row],[Male% (20-24)]]</f>
        <v>0</v>
      </c>
      <c r="DT112" s="1">
        <f>$AF112*Table1[[#This Row],[Total% (25-29)]]</f>
        <v>0</v>
      </c>
      <c r="DU112" s="1">
        <f>$CT112*Table1[[#This Row],[Female% (25-29)]]</f>
        <v>0</v>
      </c>
      <c r="DV112" s="1">
        <f>$CU112*Table1[[#This Row],[Male% (25-29)]]</f>
        <v>0</v>
      </c>
      <c r="DW112" s="1">
        <f>$AF112*Table1[[#This Row],[Total%   (30-34)]]</f>
        <v>0</v>
      </c>
      <c r="DX112" s="1">
        <f>$CT112*Table1[[#This Row],[Female%   (30-34)]]</f>
        <v>0</v>
      </c>
      <c r="DY112" s="1">
        <f>$CU112*Table1[[#This Row],[Male%  (30-34)]]</f>
        <v>0</v>
      </c>
      <c r="DZ112" s="1">
        <f>$AF112*Table1[[#This Row],[Total% (35-39)]]</f>
        <v>0</v>
      </c>
      <c r="EA112" s="1">
        <f>$CT112*Table1[[#This Row],[Female% (35-39)]]</f>
        <v>0</v>
      </c>
      <c r="EB112" s="1">
        <f>$CU112*Table1[[#This Row],[Male% (35-39)]]</f>
        <v>0</v>
      </c>
      <c r="EC112" s="1">
        <f>$AF112*Table1[[#This Row],[Total% (40-44)]]</f>
        <v>0</v>
      </c>
      <c r="ED112" s="1">
        <f>$CT112*Table1[[#This Row],[Female% (40-44)]]</f>
        <v>0</v>
      </c>
      <c r="EE112" s="1">
        <f>$CU112*Table1[[#This Row],[Male%(55-59)]]</f>
        <v>0</v>
      </c>
      <c r="EF112" s="1">
        <f>$AF112*Table1[[#This Row],[Total% (45-49)]]</f>
        <v>0</v>
      </c>
      <c r="EG112" s="1">
        <f>$CT112*Table1[[#This Row],[Female% (45-49)]]</f>
        <v>0</v>
      </c>
      <c r="EH112" s="1">
        <f>$CU112*Table1[[#This Row],[Male% (45-49)]]</f>
        <v>0</v>
      </c>
      <c r="EI112" s="1">
        <f>$AF112*Table1[[#This Row],[Total% (50-54)]]</f>
        <v>0</v>
      </c>
      <c r="EJ112" s="1">
        <f>$CT112*Table1[[#This Row],[Female%(50-54)]]</f>
        <v>0</v>
      </c>
      <c r="EK112" s="1">
        <f>$CU112*Table1[[#This Row],[Male% (50-54)]]</f>
        <v>0</v>
      </c>
      <c r="EL112" s="1">
        <f>$AF112*Table1[[#This Row],[Total% (55-59)]]</f>
        <v>0</v>
      </c>
      <c r="EM112" s="1">
        <f>$CT112*Table1[[#This Row],[Female% (55-59)]]</f>
        <v>0</v>
      </c>
      <c r="EN112" s="1">
        <f>$CU112*Table1[[#This Row],[Male% (55-59)]]</f>
        <v>0</v>
      </c>
      <c r="EO112" s="1">
        <f>$AF112*Table1[[#This Row],[Total% (60-64)]]</f>
        <v>0</v>
      </c>
      <c r="EP112" s="1">
        <f>$CT112*Table1[[#This Row],[Female%(60-64)]]</f>
        <v>0</v>
      </c>
      <c r="EQ112" s="1">
        <f>$CU112*Table1[[#This Row],[Male%(60-64)]]</f>
        <v>0</v>
      </c>
      <c r="ER112" s="1">
        <f>$AF112*Table1[[#This Row],[Total% (&gt;=65)]]</f>
        <v>0</v>
      </c>
      <c r="ES112" s="1">
        <f>$CT112*Table1[[#This Row],[Female%(&gt;=65)]]</f>
        <v>0</v>
      </c>
      <c r="ET112" s="1">
        <f>$CU112*Table1[[#This Row],[Male% (&gt;=65)]]</f>
        <v>0</v>
      </c>
    </row>
    <row r="113" spans="1:150" hidden="1" x14ac:dyDescent="0.35">
      <c r="A113" t="s">
        <v>168</v>
      </c>
      <c r="B113" t="s">
        <v>169</v>
      </c>
      <c r="C113" t="s">
        <v>233</v>
      </c>
      <c r="D113" t="s">
        <v>234</v>
      </c>
      <c r="E113" t="s">
        <v>516</v>
      </c>
      <c r="F113" t="s">
        <v>517</v>
      </c>
      <c r="H113">
        <v>3</v>
      </c>
      <c r="I113" s="1">
        <v>0</v>
      </c>
      <c r="J113" s="1">
        <v>0</v>
      </c>
      <c r="K113" s="1">
        <v>22346</v>
      </c>
      <c r="L113" s="1">
        <v>0</v>
      </c>
      <c r="M113" s="1">
        <v>0</v>
      </c>
      <c r="N113" s="1">
        <v>22346</v>
      </c>
      <c r="O113" s="3">
        <v>1</v>
      </c>
      <c r="P113" s="3">
        <v>0</v>
      </c>
      <c r="Q113" s="3">
        <v>0</v>
      </c>
      <c r="R113" s="3">
        <v>0</v>
      </c>
      <c r="S113" s="3">
        <v>0</v>
      </c>
      <c r="T113" s="1">
        <v>22346</v>
      </c>
      <c r="U113" s="1">
        <v>0</v>
      </c>
      <c r="V113" s="10">
        <f>Table1[[#This Row],[Pop NW+RATAA]]*Table1[[#This Row],[Perc_pop_Northern_Aleppo]]</f>
        <v>0</v>
      </c>
      <c r="W113" s="10">
        <f>Table1[[#This Row],[Pop NW+RATAA]]*Table1[[#This Row],[Perc_pop_Afrin District]]</f>
        <v>0</v>
      </c>
      <c r="X113" s="10">
        <f>Table1[[#This Row],[Pop NW+RATAA]]*Table1[[#This Row],[Perc_pop_Euphrates Shiled]]</f>
        <v>0</v>
      </c>
      <c r="Y113" s="10">
        <f>Table1[[#This Row],[Pop NW+RATAA]]*Table1[[#This Row],[Perc_Pop_Idleb_NSAG]]</f>
        <v>0</v>
      </c>
      <c r="Z113" s="3">
        <v>0</v>
      </c>
      <c r="AA113" s="3">
        <v>0</v>
      </c>
      <c r="AB113" s="3">
        <v>0</v>
      </c>
      <c r="AC113" s="3">
        <v>0</v>
      </c>
      <c r="AD113" s="1">
        <v>22346</v>
      </c>
      <c r="AE113" s="1">
        <v>0</v>
      </c>
      <c r="AF113" s="1">
        <v>0</v>
      </c>
      <c r="AG113" s="1">
        <v>0</v>
      </c>
      <c r="AH113" s="1">
        <v>0</v>
      </c>
      <c r="AI113" s="1">
        <f>Table1[[#This Row],[NWS_pin]]*Table1[[#This Row],[Perc_pop_Northern_Aleppo]]</f>
        <v>0</v>
      </c>
      <c r="AJ113" s="1">
        <f>Table1[[#This Row],[NWS_pin]]*Table1[[#This Row],[Perc_pop_Afrin District]]</f>
        <v>0</v>
      </c>
      <c r="AK113" s="1">
        <f>Table1[[#This Row],[NWS_pin]]*Table1[[#This Row],[Perc_pop_Euphrates Shiled]]</f>
        <v>0</v>
      </c>
      <c r="AL113" s="1">
        <f>Table1[[#This Row],[NWS_pin]]*Table1[[#This Row],[Perc_Pop_Idleb_NSAG]]</f>
        <v>0</v>
      </c>
      <c r="AM113" s="4">
        <v>0.54035939779141196</v>
      </c>
      <c r="AN113" s="4">
        <v>0.45964060220858799</v>
      </c>
      <c r="AO113" s="4">
        <v>0.22843517620433201</v>
      </c>
      <c r="AP113" s="4">
        <v>0.43989139849985398</v>
      </c>
      <c r="AQ113" s="4">
        <v>0.41118934765336002</v>
      </c>
      <c r="AR113" s="4">
        <v>3.1013026232073302E-3</v>
      </c>
      <c r="AS113" s="4">
        <v>0</v>
      </c>
      <c r="AT113" s="4">
        <v>0.14581795122357899</v>
      </c>
      <c r="AU113" s="4">
        <v>3.0391866219049601E-2</v>
      </c>
      <c r="AV113" s="4">
        <v>2.1725883233582401E-2</v>
      </c>
      <c r="AW113" s="4">
        <v>4.0579707164338098E-2</v>
      </c>
      <c r="AX113" s="4">
        <v>3.41083129940669E-2</v>
      </c>
      <c r="AY113" s="4">
        <v>2.80018240318529E-2</v>
      </c>
      <c r="AZ113" s="4">
        <v>4.1287179879165199E-2</v>
      </c>
      <c r="BA113" s="4">
        <v>5.2649583871082102E-2</v>
      </c>
      <c r="BB113" s="4">
        <v>4.4244823794518801E-2</v>
      </c>
      <c r="BC113" s="4">
        <v>6.2530327808259401E-2</v>
      </c>
      <c r="BD113" s="4">
        <v>9.2486834728744902E-2</v>
      </c>
      <c r="BE113" s="4">
        <v>8.5288844890621301E-2</v>
      </c>
      <c r="BF113" s="4">
        <v>0.10094888406805</v>
      </c>
      <c r="BG113" s="4">
        <v>5.8225593208545E-2</v>
      </c>
      <c r="BH113" s="4">
        <v>5.9757452746514998E-2</v>
      </c>
      <c r="BI113" s="4">
        <v>5.64247194531345E-2</v>
      </c>
      <c r="BJ113" s="4">
        <v>6.7649551048167E-2</v>
      </c>
      <c r="BK113" s="4">
        <v>2.1767965809899099E-2</v>
      </c>
      <c r="BL113" s="4">
        <v>0.121588532178069</v>
      </c>
      <c r="BM113" s="4">
        <v>1.10006131320545E-2</v>
      </c>
      <c r="BN113" s="4">
        <v>1.16553186253595E-2</v>
      </c>
      <c r="BO113" s="4">
        <v>1.0230932941938199E-2</v>
      </c>
      <c r="BP113" s="4">
        <v>5.1036271947042203E-2</v>
      </c>
      <c r="BQ113" s="4">
        <v>8.2404293239166898E-2</v>
      </c>
      <c r="BR113" s="4">
        <v>1.4159623074259199E-2</v>
      </c>
      <c r="BS113" s="4">
        <v>8.5826618858996701E-2</v>
      </c>
      <c r="BT113" s="4">
        <v>0.11065210110625701</v>
      </c>
      <c r="BU113" s="4">
        <v>5.6641462951201003E-2</v>
      </c>
      <c r="BV113" s="4">
        <v>6.5121241283874906E-2</v>
      </c>
      <c r="BW113" s="4">
        <v>6.2796436762327906E-2</v>
      </c>
      <c r="BX113" s="4">
        <v>6.7854311350378199E-2</v>
      </c>
      <c r="BY113" s="4">
        <v>9.8210258342600304E-2</v>
      </c>
      <c r="BZ113" s="4">
        <v>0.11862747823125699</v>
      </c>
      <c r="CA113" s="4">
        <v>7.4207512304506701E-2</v>
      </c>
      <c r="CB113" s="4">
        <v>0.106008457808768</v>
      </c>
      <c r="CC113" s="4">
        <v>8.8123538893922201E-2</v>
      </c>
      <c r="CD113" s="4">
        <v>0.12703419828499601</v>
      </c>
      <c r="CE113" s="4">
        <v>6.2871689973124603E-2</v>
      </c>
      <c r="CF113" s="4">
        <v>6.5556684452791406E-2</v>
      </c>
      <c r="CG113" s="4">
        <v>5.9715175963843001E-2</v>
      </c>
      <c r="CH113" s="4">
        <v>3.9438281759780897E-2</v>
      </c>
      <c r="CI113" s="4">
        <v>4.2545387467789401E-2</v>
      </c>
      <c r="CJ113" s="4">
        <v>3.5785528366833699E-2</v>
      </c>
      <c r="CK113" s="4">
        <v>1.8185312927108201E-2</v>
      </c>
      <c r="CL113" s="4">
        <v>7.4796191070057904E-3</v>
      </c>
      <c r="CM113" s="4">
        <v>3.07710641374517E-2</v>
      </c>
      <c r="CN113" s="4">
        <v>2.51826857809819E-2</v>
      </c>
      <c r="CO113" s="4">
        <v>3.0861009511439701E-2</v>
      </c>
      <c r="CP113" s="4">
        <v>1.8507175443749999E-2</v>
      </c>
      <c r="CQ113" s="4">
        <v>0.101606826116012</v>
      </c>
      <c r="CR113" s="4">
        <v>0.118511338095694</v>
      </c>
      <c r="CS113" s="4">
        <v>8.1733664629826203E-2</v>
      </c>
      <c r="CT113" s="1">
        <f>Table1[[#This Row],[Female %]]*Table1[[#This Row],[NWS_pin]]</f>
        <v>0</v>
      </c>
      <c r="CU113" s="1">
        <f>Table1[[#This Row],[Male %]]*Table1[[#This Row],[NWS_pin]]</f>
        <v>0</v>
      </c>
      <c r="CV113" s="1">
        <f>Table1[[#This Row],[Female% (0-2)22]]+Table1[[#This Row],[Male%(0-2)3]]</f>
        <v>0</v>
      </c>
      <c r="CW113" s="1">
        <f>$CT113*Table1[[#This Row],[Female% (0-2)]]</f>
        <v>0</v>
      </c>
      <c r="CX113" s="1">
        <f>$CU113*Table1[[#This Row],[Male%(0-2)]]</f>
        <v>0</v>
      </c>
      <c r="CY113" s="1">
        <f>Table1[[#This Row],[Female%  (3-5)5]]+Table1[[#This Row],[Male% (3-5)6]]</f>
        <v>0</v>
      </c>
      <c r="CZ113" s="1">
        <f>$AF113*Table1[[#This Row],[Female%  (3-5)]]</f>
        <v>0</v>
      </c>
      <c r="DA113" s="1">
        <f>$CU113*Table1[[#This Row],[Male% (3-5)]]</f>
        <v>0</v>
      </c>
      <c r="DB113" s="1">
        <f>Table1[[#This Row],[Female% (6-8)8]]+Table1[[#This Row],[Male%(6-8)9]]</f>
        <v>0</v>
      </c>
      <c r="DC113" s="1">
        <f>$CT113*Table1[[#This Row],[Female% (6-8)]]</f>
        <v>0</v>
      </c>
      <c r="DD113" s="1">
        <f>$CU113*Table1[[#This Row],[Male%(6-8)]]</f>
        <v>0</v>
      </c>
      <c r="DE113" s="1">
        <f>Table1[[#This Row],[Female% (9 - 11)11]]+Table1[[#This Row],[Male% (9 - 11)12]]</f>
        <v>0</v>
      </c>
      <c r="DF113" s="1">
        <f>$CT113*Table1[[#This Row],[Female% (9 - 11)]]</f>
        <v>0</v>
      </c>
      <c r="DG113" s="1">
        <f>$CU113*Table1[[#This Row],[Male% (9 - 11)]]</f>
        <v>0</v>
      </c>
      <c r="DH113" s="1">
        <f>Table1[[#This Row],[Female% (12-14)14]]+Table1[[#This Row],[Male%(12-14)15]]</f>
        <v>0</v>
      </c>
      <c r="DI113" s="1">
        <f>$CT113*Table1[[#This Row],[Female% (12-14)]]</f>
        <v>0</v>
      </c>
      <c r="DJ113" s="1">
        <f>$CU113*Table1[[#This Row],[Male%(12-14)]]</f>
        <v>0</v>
      </c>
      <c r="DK113" s="1">
        <f>Table1[[#This Row],[Female% (15-17)17]]+Table1[[#This Row],[Male%(15-17)18]]</f>
        <v>0</v>
      </c>
      <c r="DL113" s="1">
        <f>$CT113*Table1[[#This Row],[Female% (15-17)]]</f>
        <v>0</v>
      </c>
      <c r="DM113" s="1">
        <f>$CU113*Table1[[#This Row],[Male%(15-17)]]</f>
        <v>0</v>
      </c>
      <c r="DN113" s="1">
        <f>$AF113*Table1[[#This Row],[Total% (18-19)]]</f>
        <v>0</v>
      </c>
      <c r="DO113" s="1">
        <f>$CT113*Table1[[#This Row],[Female% (18-19)]]</f>
        <v>0</v>
      </c>
      <c r="DP113" s="1">
        <f>$CU113*Table1[[#This Row],[Male%(18-19)]]</f>
        <v>0</v>
      </c>
      <c r="DQ113" s="1">
        <f>$AF113*Table1[[#This Row],[Total% (20-24)]]</f>
        <v>0</v>
      </c>
      <c r="DR113" s="1">
        <f>$CT113*Table1[[#This Row],[Female% (20-24)]]</f>
        <v>0</v>
      </c>
      <c r="DS113" s="1">
        <f>$CU113*Table1[[#This Row],[Male% (20-24)]]</f>
        <v>0</v>
      </c>
      <c r="DT113" s="1">
        <f>$AF113*Table1[[#This Row],[Total% (25-29)]]</f>
        <v>0</v>
      </c>
      <c r="DU113" s="1">
        <f>$CT113*Table1[[#This Row],[Female% (25-29)]]</f>
        <v>0</v>
      </c>
      <c r="DV113" s="1">
        <f>$CU113*Table1[[#This Row],[Male% (25-29)]]</f>
        <v>0</v>
      </c>
      <c r="DW113" s="1">
        <f>$AF113*Table1[[#This Row],[Total%   (30-34)]]</f>
        <v>0</v>
      </c>
      <c r="DX113" s="1">
        <f>$CT113*Table1[[#This Row],[Female%   (30-34)]]</f>
        <v>0</v>
      </c>
      <c r="DY113" s="1">
        <f>$CU113*Table1[[#This Row],[Male%  (30-34)]]</f>
        <v>0</v>
      </c>
      <c r="DZ113" s="1">
        <f>$AF113*Table1[[#This Row],[Total% (35-39)]]</f>
        <v>0</v>
      </c>
      <c r="EA113" s="1">
        <f>$CT113*Table1[[#This Row],[Female% (35-39)]]</f>
        <v>0</v>
      </c>
      <c r="EB113" s="1">
        <f>$CU113*Table1[[#This Row],[Male% (35-39)]]</f>
        <v>0</v>
      </c>
      <c r="EC113" s="1">
        <f>$AF113*Table1[[#This Row],[Total% (40-44)]]</f>
        <v>0</v>
      </c>
      <c r="ED113" s="1">
        <f>$CT113*Table1[[#This Row],[Female% (40-44)]]</f>
        <v>0</v>
      </c>
      <c r="EE113" s="1">
        <f>$CU113*Table1[[#This Row],[Male%(55-59)]]</f>
        <v>0</v>
      </c>
      <c r="EF113" s="1">
        <f>$AF113*Table1[[#This Row],[Total% (45-49)]]</f>
        <v>0</v>
      </c>
      <c r="EG113" s="1">
        <f>$CT113*Table1[[#This Row],[Female% (45-49)]]</f>
        <v>0</v>
      </c>
      <c r="EH113" s="1">
        <f>$CU113*Table1[[#This Row],[Male% (45-49)]]</f>
        <v>0</v>
      </c>
      <c r="EI113" s="1">
        <f>$AF113*Table1[[#This Row],[Total% (50-54)]]</f>
        <v>0</v>
      </c>
      <c r="EJ113" s="1">
        <f>$CT113*Table1[[#This Row],[Female%(50-54)]]</f>
        <v>0</v>
      </c>
      <c r="EK113" s="1">
        <f>$CU113*Table1[[#This Row],[Male% (50-54)]]</f>
        <v>0</v>
      </c>
      <c r="EL113" s="1">
        <f>$AF113*Table1[[#This Row],[Total% (55-59)]]</f>
        <v>0</v>
      </c>
      <c r="EM113" s="1">
        <f>$CT113*Table1[[#This Row],[Female% (55-59)]]</f>
        <v>0</v>
      </c>
      <c r="EN113" s="1">
        <f>$CU113*Table1[[#This Row],[Male% (55-59)]]</f>
        <v>0</v>
      </c>
      <c r="EO113" s="1">
        <f>$AF113*Table1[[#This Row],[Total% (60-64)]]</f>
        <v>0</v>
      </c>
      <c r="EP113" s="1">
        <f>$CT113*Table1[[#This Row],[Female%(60-64)]]</f>
        <v>0</v>
      </c>
      <c r="EQ113" s="1">
        <f>$CU113*Table1[[#This Row],[Male%(60-64)]]</f>
        <v>0</v>
      </c>
      <c r="ER113" s="1">
        <f>$AF113*Table1[[#This Row],[Total% (&gt;=65)]]</f>
        <v>0</v>
      </c>
      <c r="ES113" s="1">
        <f>$CT113*Table1[[#This Row],[Female%(&gt;=65)]]</f>
        <v>0</v>
      </c>
      <c r="ET113" s="1">
        <f>$CU113*Table1[[#This Row],[Male% (&gt;=65)]]</f>
        <v>0</v>
      </c>
    </row>
    <row r="114" spans="1:150" hidden="1" x14ac:dyDescent="0.35">
      <c r="A114" t="s">
        <v>168</v>
      </c>
      <c r="B114" t="s">
        <v>169</v>
      </c>
      <c r="C114" t="s">
        <v>233</v>
      </c>
      <c r="D114" t="s">
        <v>234</v>
      </c>
      <c r="E114" t="s">
        <v>378</v>
      </c>
      <c r="F114" t="s">
        <v>379</v>
      </c>
      <c r="H114">
        <v>4</v>
      </c>
      <c r="I114" s="1">
        <v>0</v>
      </c>
      <c r="J114" s="1">
        <v>268</v>
      </c>
      <c r="K114" s="1">
        <v>7484</v>
      </c>
      <c r="L114" s="1">
        <v>5880</v>
      </c>
      <c r="M114" s="1">
        <v>0</v>
      </c>
      <c r="N114" s="1">
        <v>13364</v>
      </c>
      <c r="O114" s="3">
        <v>1</v>
      </c>
      <c r="P114" s="3">
        <v>0</v>
      </c>
      <c r="Q114" s="3">
        <v>0</v>
      </c>
      <c r="R114" s="3">
        <v>0</v>
      </c>
      <c r="S114" s="3">
        <v>0</v>
      </c>
      <c r="T114" s="1">
        <v>13632</v>
      </c>
      <c r="U114" s="1">
        <v>0</v>
      </c>
      <c r="V114" s="10">
        <f>Table1[[#This Row],[Pop NW+RATAA]]*Table1[[#This Row],[Perc_pop_Northern_Aleppo]]</f>
        <v>0</v>
      </c>
      <c r="W114" s="10">
        <f>Table1[[#This Row],[Pop NW+RATAA]]*Table1[[#This Row],[Perc_pop_Afrin District]]</f>
        <v>0</v>
      </c>
      <c r="X114" s="10">
        <f>Table1[[#This Row],[Pop NW+RATAA]]*Table1[[#This Row],[Perc_pop_Euphrates Shiled]]</f>
        <v>0</v>
      </c>
      <c r="Y114" s="10">
        <f>Table1[[#This Row],[Pop NW+RATAA]]*Table1[[#This Row],[Perc_Pop_Idleb_NSAG]]</f>
        <v>0</v>
      </c>
      <c r="Z114" s="3">
        <v>0</v>
      </c>
      <c r="AA114" s="3">
        <v>0</v>
      </c>
      <c r="AB114" s="3">
        <v>0</v>
      </c>
      <c r="AC114" s="3">
        <v>0</v>
      </c>
      <c r="AD114" s="1">
        <v>13364</v>
      </c>
      <c r="AE114" s="1">
        <v>0</v>
      </c>
      <c r="AF114" s="1">
        <v>0</v>
      </c>
      <c r="AG114" s="1">
        <v>0</v>
      </c>
      <c r="AH114" s="1">
        <v>0</v>
      </c>
      <c r="AI114" s="1">
        <f>Table1[[#This Row],[NWS_pin]]*Table1[[#This Row],[Perc_pop_Northern_Aleppo]]</f>
        <v>0</v>
      </c>
      <c r="AJ114" s="1">
        <f>Table1[[#This Row],[NWS_pin]]*Table1[[#This Row],[Perc_pop_Afrin District]]</f>
        <v>0</v>
      </c>
      <c r="AK114" s="1">
        <f>Table1[[#This Row],[NWS_pin]]*Table1[[#This Row],[Perc_pop_Euphrates Shiled]]</f>
        <v>0</v>
      </c>
      <c r="AL114" s="1">
        <f>Table1[[#This Row],[NWS_pin]]*Table1[[#This Row],[Perc_Pop_Idleb_NSAG]]</f>
        <v>0</v>
      </c>
      <c r="AM114" s="4">
        <v>0.49427651869300199</v>
      </c>
      <c r="AN114" s="4">
        <v>0.50572348130699796</v>
      </c>
      <c r="AO114" s="4">
        <v>0.22113920194943701</v>
      </c>
      <c r="AP114" s="4">
        <v>0.36438555121917499</v>
      </c>
      <c r="AQ114" s="4">
        <v>0.55315773563836701</v>
      </c>
      <c r="AR114" s="4">
        <v>8.5401329049944099E-3</v>
      </c>
      <c r="AS114" s="4">
        <v>0</v>
      </c>
      <c r="AT114" s="4">
        <v>7.3916580237463794E-2</v>
      </c>
      <c r="AU114" s="4">
        <v>7.5889182079817999E-2</v>
      </c>
      <c r="AV114" s="4">
        <v>6.6348070794419498E-2</v>
      </c>
      <c r="AW114" s="4">
        <v>8.5214331978773303E-2</v>
      </c>
      <c r="AX114" s="4">
        <v>0.11146267101901</v>
      </c>
      <c r="AY114" s="4">
        <v>9.7820804233829703E-2</v>
      </c>
      <c r="AZ114" s="4">
        <v>0.12479575653369999</v>
      </c>
      <c r="BA114" s="4">
        <v>0.11239052626198499</v>
      </c>
      <c r="BB114" s="4">
        <v>0.103283205617945</v>
      </c>
      <c r="BC114" s="4">
        <v>0.12129170429493499</v>
      </c>
      <c r="BD114" s="4">
        <v>4.75794232410695E-2</v>
      </c>
      <c r="BE114" s="4">
        <v>4.2596368325357598E-2</v>
      </c>
      <c r="BF114" s="4">
        <v>5.2449687579653702E-2</v>
      </c>
      <c r="BG114" s="4">
        <v>5.5127865997271201E-2</v>
      </c>
      <c r="BH114" s="4">
        <v>5.9299504051443103E-2</v>
      </c>
      <c r="BI114" s="4">
        <v>5.1050652241377399E-2</v>
      </c>
      <c r="BJ114" s="4">
        <v>4.4833371686594597E-2</v>
      </c>
      <c r="BK114" s="4">
        <v>4.4723681004247201E-2</v>
      </c>
      <c r="BL114" s="4">
        <v>4.49405795395178E-2</v>
      </c>
      <c r="BM114" s="4">
        <v>2.6629330098933202E-2</v>
      </c>
      <c r="BN114" s="4">
        <v>3.1334979775498699E-2</v>
      </c>
      <c r="BO114" s="4">
        <v>2.20301919803896E-2</v>
      </c>
      <c r="BP114" s="4">
        <v>6.3854141952936899E-2</v>
      </c>
      <c r="BQ114" s="4">
        <v>8.4006322168154193E-2</v>
      </c>
      <c r="BR114" s="4">
        <v>4.4158102814890597E-2</v>
      </c>
      <c r="BS114" s="4">
        <v>0.11929649070805699</v>
      </c>
      <c r="BT114" s="4">
        <v>0.15368707672578499</v>
      </c>
      <c r="BU114" s="4">
        <v>8.5684329594391706E-2</v>
      </c>
      <c r="BV114" s="4">
        <v>8.2189518113123E-2</v>
      </c>
      <c r="BW114" s="4">
        <v>8.9776379296137104E-2</v>
      </c>
      <c r="BX114" s="4">
        <v>7.4774384207029296E-2</v>
      </c>
      <c r="BY114" s="4">
        <v>6.2810964711433506E-2</v>
      </c>
      <c r="BZ114" s="4">
        <v>4.9256395465835497E-2</v>
      </c>
      <c r="CA114" s="4">
        <v>7.6058728651092006E-2</v>
      </c>
      <c r="CB114" s="4">
        <v>5.1200537491064603E-2</v>
      </c>
      <c r="CC114" s="4">
        <v>5.0809988007120097E-2</v>
      </c>
      <c r="CD114" s="4">
        <v>5.1582246955696499E-2</v>
      </c>
      <c r="CE114" s="4">
        <v>4.1681778970399902E-2</v>
      </c>
      <c r="CF114" s="4">
        <v>3.1052752756753201E-2</v>
      </c>
      <c r="CG114" s="4">
        <v>5.2070219033337597E-2</v>
      </c>
      <c r="CH114" s="4">
        <v>2.7030361168850801E-2</v>
      </c>
      <c r="CI114" s="4">
        <v>2.72369232162138E-2</v>
      </c>
      <c r="CJ114" s="4">
        <v>2.6828474617328901E-2</v>
      </c>
      <c r="CK114" s="4">
        <v>1.1601529403595901E-2</v>
      </c>
      <c r="CL114" s="4">
        <v>6.2089944124001702E-4</v>
      </c>
      <c r="CM114" s="4">
        <v>2.2333614725840702E-2</v>
      </c>
      <c r="CN114" s="4">
        <v>1.1993190670389099E-2</v>
      </c>
      <c r="CO114" s="4">
        <v>1.5730796449598201E-2</v>
      </c>
      <c r="CP114" s="4">
        <v>8.3401849447703492E-3</v>
      </c>
      <c r="CQ114" s="4">
        <v>5.4429116425467702E-2</v>
      </c>
      <c r="CR114" s="4">
        <v>5.2415852670422897E-2</v>
      </c>
      <c r="CS114" s="4">
        <v>5.6396810307275502E-2</v>
      </c>
      <c r="CT114" s="1">
        <f>Table1[[#This Row],[Female %]]*Table1[[#This Row],[NWS_pin]]</f>
        <v>0</v>
      </c>
      <c r="CU114" s="1">
        <f>Table1[[#This Row],[Male %]]*Table1[[#This Row],[NWS_pin]]</f>
        <v>0</v>
      </c>
      <c r="CV114" s="1">
        <f>Table1[[#This Row],[Female% (0-2)22]]+Table1[[#This Row],[Male%(0-2)3]]</f>
        <v>0</v>
      </c>
      <c r="CW114" s="1">
        <f>$CT114*Table1[[#This Row],[Female% (0-2)]]</f>
        <v>0</v>
      </c>
      <c r="CX114" s="1">
        <f>$CU114*Table1[[#This Row],[Male%(0-2)]]</f>
        <v>0</v>
      </c>
      <c r="CY114" s="1">
        <f>Table1[[#This Row],[Female%  (3-5)5]]+Table1[[#This Row],[Male% (3-5)6]]</f>
        <v>0</v>
      </c>
      <c r="CZ114" s="1">
        <f>$AF114*Table1[[#This Row],[Female%  (3-5)]]</f>
        <v>0</v>
      </c>
      <c r="DA114" s="1">
        <f>$CU114*Table1[[#This Row],[Male% (3-5)]]</f>
        <v>0</v>
      </c>
      <c r="DB114" s="1">
        <f>Table1[[#This Row],[Female% (6-8)8]]+Table1[[#This Row],[Male%(6-8)9]]</f>
        <v>0</v>
      </c>
      <c r="DC114" s="1">
        <f>$CT114*Table1[[#This Row],[Female% (6-8)]]</f>
        <v>0</v>
      </c>
      <c r="DD114" s="1">
        <f>$CU114*Table1[[#This Row],[Male%(6-8)]]</f>
        <v>0</v>
      </c>
      <c r="DE114" s="1">
        <f>Table1[[#This Row],[Female% (9 - 11)11]]+Table1[[#This Row],[Male% (9 - 11)12]]</f>
        <v>0</v>
      </c>
      <c r="DF114" s="1">
        <f>$CT114*Table1[[#This Row],[Female% (9 - 11)]]</f>
        <v>0</v>
      </c>
      <c r="DG114" s="1">
        <f>$CU114*Table1[[#This Row],[Male% (9 - 11)]]</f>
        <v>0</v>
      </c>
      <c r="DH114" s="1">
        <f>Table1[[#This Row],[Female% (12-14)14]]+Table1[[#This Row],[Male%(12-14)15]]</f>
        <v>0</v>
      </c>
      <c r="DI114" s="1">
        <f>$CT114*Table1[[#This Row],[Female% (12-14)]]</f>
        <v>0</v>
      </c>
      <c r="DJ114" s="1">
        <f>$CU114*Table1[[#This Row],[Male%(12-14)]]</f>
        <v>0</v>
      </c>
      <c r="DK114" s="1">
        <f>Table1[[#This Row],[Female% (15-17)17]]+Table1[[#This Row],[Male%(15-17)18]]</f>
        <v>0</v>
      </c>
      <c r="DL114" s="1">
        <f>$CT114*Table1[[#This Row],[Female% (15-17)]]</f>
        <v>0</v>
      </c>
      <c r="DM114" s="1">
        <f>$CU114*Table1[[#This Row],[Male%(15-17)]]</f>
        <v>0</v>
      </c>
      <c r="DN114" s="1">
        <f>$AF114*Table1[[#This Row],[Total% (18-19)]]</f>
        <v>0</v>
      </c>
      <c r="DO114" s="1">
        <f>$CT114*Table1[[#This Row],[Female% (18-19)]]</f>
        <v>0</v>
      </c>
      <c r="DP114" s="1">
        <f>$CU114*Table1[[#This Row],[Male%(18-19)]]</f>
        <v>0</v>
      </c>
      <c r="DQ114" s="1">
        <f>$AF114*Table1[[#This Row],[Total% (20-24)]]</f>
        <v>0</v>
      </c>
      <c r="DR114" s="1">
        <f>$CT114*Table1[[#This Row],[Female% (20-24)]]</f>
        <v>0</v>
      </c>
      <c r="DS114" s="1">
        <f>$CU114*Table1[[#This Row],[Male% (20-24)]]</f>
        <v>0</v>
      </c>
      <c r="DT114" s="1">
        <f>$AF114*Table1[[#This Row],[Total% (25-29)]]</f>
        <v>0</v>
      </c>
      <c r="DU114" s="1">
        <f>$CT114*Table1[[#This Row],[Female% (25-29)]]</f>
        <v>0</v>
      </c>
      <c r="DV114" s="1">
        <f>$CU114*Table1[[#This Row],[Male% (25-29)]]</f>
        <v>0</v>
      </c>
      <c r="DW114" s="1">
        <f>$AF114*Table1[[#This Row],[Total%   (30-34)]]</f>
        <v>0</v>
      </c>
      <c r="DX114" s="1">
        <f>$CT114*Table1[[#This Row],[Female%   (30-34)]]</f>
        <v>0</v>
      </c>
      <c r="DY114" s="1">
        <f>$CU114*Table1[[#This Row],[Male%  (30-34)]]</f>
        <v>0</v>
      </c>
      <c r="DZ114" s="1">
        <f>$AF114*Table1[[#This Row],[Total% (35-39)]]</f>
        <v>0</v>
      </c>
      <c r="EA114" s="1">
        <f>$CT114*Table1[[#This Row],[Female% (35-39)]]</f>
        <v>0</v>
      </c>
      <c r="EB114" s="1">
        <f>$CU114*Table1[[#This Row],[Male% (35-39)]]</f>
        <v>0</v>
      </c>
      <c r="EC114" s="1">
        <f>$AF114*Table1[[#This Row],[Total% (40-44)]]</f>
        <v>0</v>
      </c>
      <c r="ED114" s="1">
        <f>$CT114*Table1[[#This Row],[Female% (40-44)]]</f>
        <v>0</v>
      </c>
      <c r="EE114" s="1">
        <f>$CU114*Table1[[#This Row],[Male%(55-59)]]</f>
        <v>0</v>
      </c>
      <c r="EF114" s="1">
        <f>$AF114*Table1[[#This Row],[Total% (45-49)]]</f>
        <v>0</v>
      </c>
      <c r="EG114" s="1">
        <f>$CT114*Table1[[#This Row],[Female% (45-49)]]</f>
        <v>0</v>
      </c>
      <c r="EH114" s="1">
        <f>$CU114*Table1[[#This Row],[Male% (45-49)]]</f>
        <v>0</v>
      </c>
      <c r="EI114" s="1">
        <f>$AF114*Table1[[#This Row],[Total% (50-54)]]</f>
        <v>0</v>
      </c>
      <c r="EJ114" s="1">
        <f>$CT114*Table1[[#This Row],[Female%(50-54)]]</f>
        <v>0</v>
      </c>
      <c r="EK114" s="1">
        <f>$CU114*Table1[[#This Row],[Male% (50-54)]]</f>
        <v>0</v>
      </c>
      <c r="EL114" s="1">
        <f>$AF114*Table1[[#This Row],[Total% (55-59)]]</f>
        <v>0</v>
      </c>
      <c r="EM114" s="1">
        <f>$CT114*Table1[[#This Row],[Female% (55-59)]]</f>
        <v>0</v>
      </c>
      <c r="EN114" s="1">
        <f>$CU114*Table1[[#This Row],[Male% (55-59)]]</f>
        <v>0</v>
      </c>
      <c r="EO114" s="1">
        <f>$AF114*Table1[[#This Row],[Total% (60-64)]]</f>
        <v>0</v>
      </c>
      <c r="EP114" s="1">
        <f>$CT114*Table1[[#This Row],[Female%(60-64)]]</f>
        <v>0</v>
      </c>
      <c r="EQ114" s="1">
        <f>$CU114*Table1[[#This Row],[Male%(60-64)]]</f>
        <v>0</v>
      </c>
      <c r="ER114" s="1">
        <f>$AF114*Table1[[#This Row],[Total% (&gt;=65)]]</f>
        <v>0</v>
      </c>
      <c r="ES114" s="1">
        <f>$CT114*Table1[[#This Row],[Female%(&gt;=65)]]</f>
        <v>0</v>
      </c>
      <c r="ET114" s="1">
        <f>$CU114*Table1[[#This Row],[Male% (&gt;=65)]]</f>
        <v>0</v>
      </c>
    </row>
    <row r="115" spans="1:150" hidden="1" x14ac:dyDescent="0.35">
      <c r="A115" t="s">
        <v>168</v>
      </c>
      <c r="B115" t="s">
        <v>169</v>
      </c>
      <c r="C115" t="s">
        <v>233</v>
      </c>
      <c r="D115" t="s">
        <v>234</v>
      </c>
      <c r="E115" t="s">
        <v>235</v>
      </c>
      <c r="F115" t="s">
        <v>236</v>
      </c>
      <c r="H115">
        <v>3</v>
      </c>
      <c r="I115" s="1">
        <v>0</v>
      </c>
      <c r="J115" s="1">
        <v>8867</v>
      </c>
      <c r="K115" s="1">
        <v>9936</v>
      </c>
      <c r="L115" s="1">
        <v>0</v>
      </c>
      <c r="M115" s="1">
        <v>0</v>
      </c>
      <c r="N115" s="1">
        <v>9936</v>
      </c>
      <c r="O115" s="3">
        <v>1</v>
      </c>
      <c r="P115" s="3">
        <v>0</v>
      </c>
      <c r="Q115" s="3">
        <v>0</v>
      </c>
      <c r="R115" s="3">
        <v>0</v>
      </c>
      <c r="S115" s="3">
        <v>0</v>
      </c>
      <c r="T115" s="1">
        <v>18803</v>
      </c>
      <c r="U115" s="1">
        <v>0</v>
      </c>
      <c r="V115" s="10">
        <f>Table1[[#This Row],[Pop NW+RATAA]]*Table1[[#This Row],[Perc_pop_Northern_Aleppo]]</f>
        <v>0</v>
      </c>
      <c r="W115" s="10">
        <f>Table1[[#This Row],[Pop NW+RATAA]]*Table1[[#This Row],[Perc_pop_Afrin District]]</f>
        <v>0</v>
      </c>
      <c r="X115" s="10">
        <f>Table1[[#This Row],[Pop NW+RATAA]]*Table1[[#This Row],[Perc_pop_Euphrates Shiled]]</f>
        <v>0</v>
      </c>
      <c r="Y115" s="10">
        <f>Table1[[#This Row],[Pop NW+RATAA]]*Table1[[#This Row],[Perc_Pop_Idleb_NSAG]]</f>
        <v>0</v>
      </c>
      <c r="Z115" s="3">
        <v>0</v>
      </c>
      <c r="AA115" s="3">
        <v>0</v>
      </c>
      <c r="AB115" s="3">
        <v>0</v>
      </c>
      <c r="AC115" s="3">
        <v>0</v>
      </c>
      <c r="AD115" s="1">
        <v>9936</v>
      </c>
      <c r="AE115" s="1">
        <v>0</v>
      </c>
      <c r="AF115" s="1">
        <v>0</v>
      </c>
      <c r="AG115" s="1">
        <v>0</v>
      </c>
      <c r="AH115" s="1">
        <v>0</v>
      </c>
      <c r="AI115" s="1">
        <f>Table1[[#This Row],[NWS_pin]]*Table1[[#This Row],[Perc_pop_Northern_Aleppo]]</f>
        <v>0</v>
      </c>
      <c r="AJ115" s="1">
        <f>Table1[[#This Row],[NWS_pin]]*Table1[[#This Row],[Perc_pop_Afrin District]]</f>
        <v>0</v>
      </c>
      <c r="AK115" s="1">
        <f>Table1[[#This Row],[NWS_pin]]*Table1[[#This Row],[Perc_pop_Euphrates Shiled]]</f>
        <v>0</v>
      </c>
      <c r="AL115" s="1">
        <f>Table1[[#This Row],[NWS_pin]]*Table1[[#This Row],[Perc_Pop_Idleb_NSAG]]</f>
        <v>0</v>
      </c>
      <c r="AM115" s="4">
        <v>0.46157826006192898</v>
      </c>
      <c r="AN115" s="4">
        <v>0.53842173993807096</v>
      </c>
      <c r="AO115" s="4">
        <v>0.206588975540588</v>
      </c>
      <c r="AP115" s="4">
        <v>0.45555761842482301</v>
      </c>
      <c r="AQ115" s="4">
        <v>0.49167934081941</v>
      </c>
      <c r="AR115" s="4">
        <v>1.24480818713197E-2</v>
      </c>
      <c r="AS115" s="4">
        <v>0</v>
      </c>
      <c r="AT115" s="4">
        <v>4.0314958884447999E-2</v>
      </c>
      <c r="AU115" s="4">
        <v>2.2820885885874598E-2</v>
      </c>
      <c r="AV115" s="4">
        <v>1.8395148580757002E-2</v>
      </c>
      <c r="AW115" s="4">
        <v>2.6614982545163202E-2</v>
      </c>
      <c r="AX115" s="4">
        <v>6.7348940900885904E-2</v>
      </c>
      <c r="AY115" s="4">
        <v>4.5024739146969701E-2</v>
      </c>
      <c r="AZ115" s="4">
        <v>8.64870355179964E-2</v>
      </c>
      <c r="BA115" s="4">
        <v>9.6865858657030998E-2</v>
      </c>
      <c r="BB115" s="4">
        <v>0.11816070588323301</v>
      </c>
      <c r="BC115" s="4">
        <v>7.8610209224886499E-2</v>
      </c>
      <c r="BD115" s="4">
        <v>0.102761593200187</v>
      </c>
      <c r="BE115" s="4">
        <v>7.0758191208534299E-2</v>
      </c>
      <c r="BF115" s="4">
        <v>0.13019747387073499</v>
      </c>
      <c r="BG115" s="4">
        <v>9.1553550424318994E-2</v>
      </c>
      <c r="BH115" s="4">
        <v>6.34056463530005E-2</v>
      </c>
      <c r="BI115" s="4">
        <v>0.11568418933040001</v>
      </c>
      <c r="BJ115" s="4">
        <v>8.6392487677090096E-2</v>
      </c>
      <c r="BK115" s="4">
        <v>4.7069167607668799E-2</v>
      </c>
      <c r="BL115" s="4">
        <v>0.120103588680533</v>
      </c>
      <c r="BM115" s="4">
        <v>2.1306888082412701E-2</v>
      </c>
      <c r="BN115" s="4">
        <v>3.2377073151038799E-2</v>
      </c>
      <c r="BO115" s="4">
        <v>1.1816638370118799E-2</v>
      </c>
      <c r="BP115" s="4">
        <v>3.36261003802939E-2</v>
      </c>
      <c r="BQ115" s="4">
        <v>4.7643826857559399E-2</v>
      </c>
      <c r="BR115" s="4">
        <v>2.1608981981351801E-2</v>
      </c>
      <c r="BS115" s="4">
        <v>5.0861786112589499E-2</v>
      </c>
      <c r="BT115" s="4">
        <v>8.0068213020188794E-2</v>
      </c>
      <c r="BU115" s="4">
        <v>2.5823696610137201E-2</v>
      </c>
      <c r="BV115" s="4">
        <v>8.0464524680248506E-2</v>
      </c>
      <c r="BW115" s="4">
        <v>9.5634767444383498E-2</v>
      </c>
      <c r="BX115" s="4">
        <v>6.7459376967245993E-2</v>
      </c>
      <c r="BY115" s="4">
        <v>0.10095139490864601</v>
      </c>
      <c r="BZ115" s="4">
        <v>0.12602625670390499</v>
      </c>
      <c r="CA115" s="4">
        <v>7.9455214089349205E-2</v>
      </c>
      <c r="CB115" s="4">
        <v>8.2210612999614296E-2</v>
      </c>
      <c r="CC115" s="4">
        <v>9.1307505954130896E-2</v>
      </c>
      <c r="CD115" s="4">
        <v>7.4412027410558496E-2</v>
      </c>
      <c r="CE115" s="4">
        <v>5.8984059441612197E-2</v>
      </c>
      <c r="CF115" s="4">
        <v>7.4470561565294802E-2</v>
      </c>
      <c r="CG115" s="4">
        <v>4.5707788863241797E-2</v>
      </c>
      <c r="CH115" s="4">
        <v>5.75506784217319E-2</v>
      </c>
      <c r="CI115" s="4">
        <v>4.5554795202405303E-2</v>
      </c>
      <c r="CJ115" s="4">
        <v>6.7834510766465503E-2</v>
      </c>
      <c r="CK115" s="4">
        <v>2.0161819339851401E-2</v>
      </c>
      <c r="CL115" s="4">
        <v>2.4253951244693199E-2</v>
      </c>
      <c r="CM115" s="4">
        <v>1.66537159620084E-2</v>
      </c>
      <c r="CN115" s="4">
        <v>1.6976744258236202E-2</v>
      </c>
      <c r="CO115" s="4">
        <v>1.34337107620704E-2</v>
      </c>
      <c r="CP115" s="4">
        <v>2.0014116480036599E-2</v>
      </c>
      <c r="CQ115" s="4">
        <v>9.1620746293759707E-3</v>
      </c>
      <c r="CR115" s="4">
        <v>6.4157393141674396E-3</v>
      </c>
      <c r="CS115" s="4">
        <v>1.15164533297724E-2</v>
      </c>
      <c r="CT115" s="1">
        <f>Table1[[#This Row],[Female %]]*Table1[[#This Row],[NWS_pin]]</f>
        <v>0</v>
      </c>
      <c r="CU115" s="1">
        <f>Table1[[#This Row],[Male %]]*Table1[[#This Row],[NWS_pin]]</f>
        <v>0</v>
      </c>
      <c r="CV115" s="1">
        <f>Table1[[#This Row],[Female% (0-2)22]]+Table1[[#This Row],[Male%(0-2)3]]</f>
        <v>0</v>
      </c>
      <c r="CW115" s="1">
        <f>$CT115*Table1[[#This Row],[Female% (0-2)]]</f>
        <v>0</v>
      </c>
      <c r="CX115" s="1">
        <f>$CU115*Table1[[#This Row],[Male%(0-2)]]</f>
        <v>0</v>
      </c>
      <c r="CY115" s="1">
        <f>Table1[[#This Row],[Female%  (3-5)5]]+Table1[[#This Row],[Male% (3-5)6]]</f>
        <v>0</v>
      </c>
      <c r="CZ115" s="1">
        <f>$AF115*Table1[[#This Row],[Female%  (3-5)]]</f>
        <v>0</v>
      </c>
      <c r="DA115" s="1">
        <f>$CU115*Table1[[#This Row],[Male% (3-5)]]</f>
        <v>0</v>
      </c>
      <c r="DB115" s="1">
        <f>Table1[[#This Row],[Female% (6-8)8]]+Table1[[#This Row],[Male%(6-8)9]]</f>
        <v>0</v>
      </c>
      <c r="DC115" s="1">
        <f>$CT115*Table1[[#This Row],[Female% (6-8)]]</f>
        <v>0</v>
      </c>
      <c r="DD115" s="1">
        <f>$CU115*Table1[[#This Row],[Male%(6-8)]]</f>
        <v>0</v>
      </c>
      <c r="DE115" s="1">
        <f>Table1[[#This Row],[Female% (9 - 11)11]]+Table1[[#This Row],[Male% (9 - 11)12]]</f>
        <v>0</v>
      </c>
      <c r="DF115" s="1">
        <f>$CT115*Table1[[#This Row],[Female% (9 - 11)]]</f>
        <v>0</v>
      </c>
      <c r="DG115" s="1">
        <f>$CU115*Table1[[#This Row],[Male% (9 - 11)]]</f>
        <v>0</v>
      </c>
      <c r="DH115" s="1">
        <f>Table1[[#This Row],[Female% (12-14)14]]+Table1[[#This Row],[Male%(12-14)15]]</f>
        <v>0</v>
      </c>
      <c r="DI115" s="1">
        <f>$CT115*Table1[[#This Row],[Female% (12-14)]]</f>
        <v>0</v>
      </c>
      <c r="DJ115" s="1">
        <f>$CU115*Table1[[#This Row],[Male%(12-14)]]</f>
        <v>0</v>
      </c>
      <c r="DK115" s="1">
        <f>Table1[[#This Row],[Female% (15-17)17]]+Table1[[#This Row],[Male%(15-17)18]]</f>
        <v>0</v>
      </c>
      <c r="DL115" s="1">
        <f>$CT115*Table1[[#This Row],[Female% (15-17)]]</f>
        <v>0</v>
      </c>
      <c r="DM115" s="1">
        <f>$CU115*Table1[[#This Row],[Male%(15-17)]]</f>
        <v>0</v>
      </c>
      <c r="DN115" s="1">
        <f>$AF115*Table1[[#This Row],[Total% (18-19)]]</f>
        <v>0</v>
      </c>
      <c r="DO115" s="1">
        <f>$CT115*Table1[[#This Row],[Female% (18-19)]]</f>
        <v>0</v>
      </c>
      <c r="DP115" s="1">
        <f>$CU115*Table1[[#This Row],[Male%(18-19)]]</f>
        <v>0</v>
      </c>
      <c r="DQ115" s="1">
        <f>$AF115*Table1[[#This Row],[Total% (20-24)]]</f>
        <v>0</v>
      </c>
      <c r="DR115" s="1">
        <f>$CT115*Table1[[#This Row],[Female% (20-24)]]</f>
        <v>0</v>
      </c>
      <c r="DS115" s="1">
        <f>$CU115*Table1[[#This Row],[Male% (20-24)]]</f>
        <v>0</v>
      </c>
      <c r="DT115" s="1">
        <f>$AF115*Table1[[#This Row],[Total% (25-29)]]</f>
        <v>0</v>
      </c>
      <c r="DU115" s="1">
        <f>$CT115*Table1[[#This Row],[Female% (25-29)]]</f>
        <v>0</v>
      </c>
      <c r="DV115" s="1">
        <f>$CU115*Table1[[#This Row],[Male% (25-29)]]</f>
        <v>0</v>
      </c>
      <c r="DW115" s="1">
        <f>$AF115*Table1[[#This Row],[Total%   (30-34)]]</f>
        <v>0</v>
      </c>
      <c r="DX115" s="1">
        <f>$CT115*Table1[[#This Row],[Female%   (30-34)]]</f>
        <v>0</v>
      </c>
      <c r="DY115" s="1">
        <f>$CU115*Table1[[#This Row],[Male%  (30-34)]]</f>
        <v>0</v>
      </c>
      <c r="DZ115" s="1">
        <f>$AF115*Table1[[#This Row],[Total% (35-39)]]</f>
        <v>0</v>
      </c>
      <c r="EA115" s="1">
        <f>$CT115*Table1[[#This Row],[Female% (35-39)]]</f>
        <v>0</v>
      </c>
      <c r="EB115" s="1">
        <f>$CU115*Table1[[#This Row],[Male% (35-39)]]</f>
        <v>0</v>
      </c>
      <c r="EC115" s="1">
        <f>$AF115*Table1[[#This Row],[Total% (40-44)]]</f>
        <v>0</v>
      </c>
      <c r="ED115" s="1">
        <f>$CT115*Table1[[#This Row],[Female% (40-44)]]</f>
        <v>0</v>
      </c>
      <c r="EE115" s="1">
        <f>$CU115*Table1[[#This Row],[Male%(55-59)]]</f>
        <v>0</v>
      </c>
      <c r="EF115" s="1">
        <f>$AF115*Table1[[#This Row],[Total% (45-49)]]</f>
        <v>0</v>
      </c>
      <c r="EG115" s="1">
        <f>$CT115*Table1[[#This Row],[Female% (45-49)]]</f>
        <v>0</v>
      </c>
      <c r="EH115" s="1">
        <f>$CU115*Table1[[#This Row],[Male% (45-49)]]</f>
        <v>0</v>
      </c>
      <c r="EI115" s="1">
        <f>$AF115*Table1[[#This Row],[Total% (50-54)]]</f>
        <v>0</v>
      </c>
      <c r="EJ115" s="1">
        <f>$CT115*Table1[[#This Row],[Female%(50-54)]]</f>
        <v>0</v>
      </c>
      <c r="EK115" s="1">
        <f>$CU115*Table1[[#This Row],[Male% (50-54)]]</f>
        <v>0</v>
      </c>
      <c r="EL115" s="1">
        <f>$AF115*Table1[[#This Row],[Total% (55-59)]]</f>
        <v>0</v>
      </c>
      <c r="EM115" s="1">
        <f>$CT115*Table1[[#This Row],[Female% (55-59)]]</f>
        <v>0</v>
      </c>
      <c r="EN115" s="1">
        <f>$CU115*Table1[[#This Row],[Male% (55-59)]]</f>
        <v>0</v>
      </c>
      <c r="EO115" s="1">
        <f>$AF115*Table1[[#This Row],[Total% (60-64)]]</f>
        <v>0</v>
      </c>
      <c r="EP115" s="1">
        <f>$CT115*Table1[[#This Row],[Female%(60-64)]]</f>
        <v>0</v>
      </c>
      <c r="EQ115" s="1">
        <f>$CU115*Table1[[#This Row],[Male%(60-64)]]</f>
        <v>0</v>
      </c>
      <c r="ER115" s="1">
        <f>$AF115*Table1[[#This Row],[Total% (&gt;=65)]]</f>
        <v>0</v>
      </c>
      <c r="ES115" s="1">
        <f>$CT115*Table1[[#This Row],[Female%(&gt;=65)]]</f>
        <v>0</v>
      </c>
      <c r="ET115" s="1">
        <f>$CU115*Table1[[#This Row],[Male% (&gt;=65)]]</f>
        <v>0</v>
      </c>
    </row>
    <row r="116" spans="1:150" hidden="1" x14ac:dyDescent="0.35">
      <c r="A116" t="s">
        <v>168</v>
      </c>
      <c r="B116" t="s">
        <v>169</v>
      </c>
      <c r="C116" t="s">
        <v>233</v>
      </c>
      <c r="D116" t="s">
        <v>234</v>
      </c>
      <c r="E116" t="s">
        <v>589</v>
      </c>
      <c r="F116" t="s">
        <v>590</v>
      </c>
      <c r="H116">
        <v>2</v>
      </c>
      <c r="I116" s="1">
        <v>0</v>
      </c>
      <c r="J116" s="1">
        <v>4176</v>
      </c>
      <c r="K116" s="1">
        <v>150</v>
      </c>
      <c r="L116" s="1">
        <v>0</v>
      </c>
      <c r="M116" s="1">
        <v>0</v>
      </c>
      <c r="N116" s="1">
        <v>150</v>
      </c>
      <c r="O116" s="3">
        <v>1</v>
      </c>
      <c r="P116" s="3">
        <v>0</v>
      </c>
      <c r="Q116" s="3">
        <v>0</v>
      </c>
      <c r="R116" s="3">
        <v>0</v>
      </c>
      <c r="S116" s="3">
        <v>0</v>
      </c>
      <c r="T116" s="1">
        <v>4326</v>
      </c>
      <c r="U116" s="1">
        <v>0</v>
      </c>
      <c r="V116" s="10">
        <f>Table1[[#This Row],[Pop NW+RATAA]]*Table1[[#This Row],[Perc_pop_Northern_Aleppo]]</f>
        <v>0</v>
      </c>
      <c r="W116" s="10">
        <f>Table1[[#This Row],[Pop NW+RATAA]]*Table1[[#This Row],[Perc_pop_Afrin District]]</f>
        <v>0</v>
      </c>
      <c r="X116" s="10">
        <f>Table1[[#This Row],[Pop NW+RATAA]]*Table1[[#This Row],[Perc_pop_Euphrates Shiled]]</f>
        <v>0</v>
      </c>
      <c r="Y116" s="10">
        <f>Table1[[#This Row],[Pop NW+RATAA]]*Table1[[#This Row],[Perc_Pop_Idleb_NSAG]]</f>
        <v>0</v>
      </c>
      <c r="Z116" s="3">
        <v>0</v>
      </c>
      <c r="AA116" s="3">
        <v>0</v>
      </c>
      <c r="AB116" s="3">
        <v>0</v>
      </c>
      <c r="AC116" s="3">
        <v>0</v>
      </c>
      <c r="AD116" s="1">
        <v>150</v>
      </c>
      <c r="AE116" s="1">
        <v>0</v>
      </c>
      <c r="AF116" s="1">
        <v>0</v>
      </c>
      <c r="AG116" s="1">
        <v>0</v>
      </c>
      <c r="AH116" s="1">
        <v>0</v>
      </c>
      <c r="AI116" s="1">
        <f>Table1[[#This Row],[NWS_pin]]*Table1[[#This Row],[Perc_pop_Northern_Aleppo]]</f>
        <v>0</v>
      </c>
      <c r="AJ116" s="1">
        <f>Table1[[#This Row],[NWS_pin]]*Table1[[#This Row],[Perc_pop_Afrin District]]</f>
        <v>0</v>
      </c>
      <c r="AK116" s="1">
        <f>Table1[[#This Row],[NWS_pin]]*Table1[[#This Row],[Perc_pop_Euphrates Shiled]]</f>
        <v>0</v>
      </c>
      <c r="AL116" s="1">
        <f>Table1[[#This Row],[NWS_pin]]*Table1[[#This Row],[Perc_Pop_Idleb_NSAG]]</f>
        <v>0</v>
      </c>
      <c r="AM116" s="4">
        <v>0.48316623307391199</v>
      </c>
      <c r="AN116" s="4">
        <v>0.51683376692608796</v>
      </c>
      <c r="AO116" s="4">
        <v>0.22343234323432301</v>
      </c>
      <c r="AP116" s="4">
        <v>0.27366407182285901</v>
      </c>
      <c r="AQ116" s="4">
        <v>0.63690547188885405</v>
      </c>
      <c r="AR116" s="4">
        <v>2.4327351595624401E-2</v>
      </c>
      <c r="AS116" s="4">
        <v>5.3746651197830696E-3</v>
      </c>
      <c r="AT116" s="4">
        <v>5.9728439572878801E-2</v>
      </c>
      <c r="AU116" s="4">
        <v>6.8360369548791905E-2</v>
      </c>
      <c r="AV116" s="4">
        <v>2.3742730728503299E-2</v>
      </c>
      <c r="AW116" s="4">
        <v>0.110071530577739</v>
      </c>
      <c r="AX116" s="4">
        <v>8.0308441951806198E-2</v>
      </c>
      <c r="AY116" s="4">
        <v>7.9270518341446702E-2</v>
      </c>
      <c r="AZ116" s="4">
        <v>8.1278753245548799E-2</v>
      </c>
      <c r="BA116" s="4">
        <v>7.7082644027324093E-2</v>
      </c>
      <c r="BB116" s="4">
        <v>5.2068486551739498E-2</v>
      </c>
      <c r="BC116" s="4">
        <v>0.100467331743992</v>
      </c>
      <c r="BD116" s="4">
        <v>4.4436788344321798E-2</v>
      </c>
      <c r="BE116" s="4">
        <v>1.9910055573675801E-2</v>
      </c>
      <c r="BF116" s="4">
        <v>6.7365803127712107E-2</v>
      </c>
      <c r="BG116" s="4">
        <v>4.21989761189887E-2</v>
      </c>
      <c r="BH116" s="4">
        <v>9.7832036687178995E-3</v>
      </c>
      <c r="BI116" s="4">
        <v>7.2503123543664005E-2</v>
      </c>
      <c r="BJ116" s="4">
        <v>3.4072966941948502E-2</v>
      </c>
      <c r="BK116" s="4">
        <v>2.6171292244113499E-2</v>
      </c>
      <c r="BL116" s="4">
        <v>4.1459911532343997E-2</v>
      </c>
      <c r="BM116" s="4">
        <v>1.8065728402785301E-2</v>
      </c>
      <c r="BN116" s="4">
        <v>2.99264613290759E-2</v>
      </c>
      <c r="BO116" s="4">
        <v>6.9776261613713397E-3</v>
      </c>
      <c r="BP116" s="4">
        <v>1.88574298560002E-2</v>
      </c>
      <c r="BQ116" s="4">
        <v>3.9028865357640802E-2</v>
      </c>
      <c r="BR116" s="4">
        <v>0</v>
      </c>
      <c r="BS116" s="4">
        <v>0.17264327835773699</v>
      </c>
      <c r="BT116" s="4">
        <v>0.25160015840416999</v>
      </c>
      <c r="BU116" s="4">
        <v>9.8829799539973603E-2</v>
      </c>
      <c r="BV116" s="4">
        <v>0.115018074319487</v>
      </c>
      <c r="BW116" s="4">
        <v>0.105484416128083</v>
      </c>
      <c r="BX116" s="4">
        <v>0.123930691896995</v>
      </c>
      <c r="BY116" s="4">
        <v>6.3632806046360998E-2</v>
      </c>
      <c r="BZ116" s="4">
        <v>9.3535715663238095E-2</v>
      </c>
      <c r="CA116" s="4">
        <v>3.5677828794260603E-2</v>
      </c>
      <c r="CB116" s="4">
        <v>5.4829026409873999E-2</v>
      </c>
      <c r="CC116" s="4">
        <v>4.9574728753831003E-2</v>
      </c>
      <c r="CD116" s="4">
        <v>5.9741049130484003E-2</v>
      </c>
      <c r="CE116" s="4">
        <v>4.4100645653021499E-2</v>
      </c>
      <c r="CF116" s="4">
        <v>1.8009219210234999E-2</v>
      </c>
      <c r="CG116" s="4">
        <v>6.8492426988951596E-2</v>
      </c>
      <c r="CH116" s="4">
        <v>2.4742058203494201E-2</v>
      </c>
      <c r="CI116" s="4">
        <v>3.9081660668760697E-2</v>
      </c>
      <c r="CJ116" s="4">
        <v>1.1336564696118399E-2</v>
      </c>
      <c r="CK116" s="4">
        <v>2.60093532675858E-2</v>
      </c>
      <c r="CL116" s="4">
        <v>5.8827107027584801E-3</v>
      </c>
      <c r="CM116" s="4">
        <v>4.4824908083808603E-2</v>
      </c>
      <c r="CN116" s="4">
        <v>3.5542582039347202E-2</v>
      </c>
      <c r="CO116" s="4">
        <v>6.60979742375295E-2</v>
      </c>
      <c r="CP116" s="4">
        <v>6.9776261613713397E-3</v>
      </c>
      <c r="CQ116" s="4">
        <v>8.0098830511125499E-2</v>
      </c>
      <c r="CR116" s="4">
        <v>9.0831802436480799E-2</v>
      </c>
      <c r="CS116" s="4">
        <v>7.0065024775666201E-2</v>
      </c>
      <c r="CT116" s="1">
        <f>Table1[[#This Row],[Female %]]*Table1[[#This Row],[NWS_pin]]</f>
        <v>0</v>
      </c>
      <c r="CU116" s="1">
        <f>Table1[[#This Row],[Male %]]*Table1[[#This Row],[NWS_pin]]</f>
        <v>0</v>
      </c>
      <c r="CV116" s="1">
        <f>Table1[[#This Row],[Female% (0-2)22]]+Table1[[#This Row],[Male%(0-2)3]]</f>
        <v>0</v>
      </c>
      <c r="CW116" s="1">
        <f>$CT116*Table1[[#This Row],[Female% (0-2)]]</f>
        <v>0</v>
      </c>
      <c r="CX116" s="1">
        <f>$CU116*Table1[[#This Row],[Male%(0-2)]]</f>
        <v>0</v>
      </c>
      <c r="CY116" s="1">
        <f>Table1[[#This Row],[Female%  (3-5)5]]+Table1[[#This Row],[Male% (3-5)6]]</f>
        <v>0</v>
      </c>
      <c r="CZ116" s="1">
        <f>$AF116*Table1[[#This Row],[Female%  (3-5)]]</f>
        <v>0</v>
      </c>
      <c r="DA116" s="1">
        <f>$CU116*Table1[[#This Row],[Male% (3-5)]]</f>
        <v>0</v>
      </c>
      <c r="DB116" s="1">
        <f>Table1[[#This Row],[Female% (6-8)8]]+Table1[[#This Row],[Male%(6-8)9]]</f>
        <v>0</v>
      </c>
      <c r="DC116" s="1">
        <f>$CT116*Table1[[#This Row],[Female% (6-8)]]</f>
        <v>0</v>
      </c>
      <c r="DD116" s="1">
        <f>$CU116*Table1[[#This Row],[Male%(6-8)]]</f>
        <v>0</v>
      </c>
      <c r="DE116" s="1">
        <f>Table1[[#This Row],[Female% (9 - 11)11]]+Table1[[#This Row],[Male% (9 - 11)12]]</f>
        <v>0</v>
      </c>
      <c r="DF116" s="1">
        <f>$CT116*Table1[[#This Row],[Female% (9 - 11)]]</f>
        <v>0</v>
      </c>
      <c r="DG116" s="1">
        <f>$CU116*Table1[[#This Row],[Male% (9 - 11)]]</f>
        <v>0</v>
      </c>
      <c r="DH116" s="1">
        <f>Table1[[#This Row],[Female% (12-14)14]]+Table1[[#This Row],[Male%(12-14)15]]</f>
        <v>0</v>
      </c>
      <c r="DI116" s="1">
        <f>$CT116*Table1[[#This Row],[Female% (12-14)]]</f>
        <v>0</v>
      </c>
      <c r="DJ116" s="1">
        <f>$CU116*Table1[[#This Row],[Male%(12-14)]]</f>
        <v>0</v>
      </c>
      <c r="DK116" s="1">
        <f>Table1[[#This Row],[Female% (15-17)17]]+Table1[[#This Row],[Male%(15-17)18]]</f>
        <v>0</v>
      </c>
      <c r="DL116" s="1">
        <f>$CT116*Table1[[#This Row],[Female% (15-17)]]</f>
        <v>0</v>
      </c>
      <c r="DM116" s="1">
        <f>$CU116*Table1[[#This Row],[Male%(15-17)]]</f>
        <v>0</v>
      </c>
      <c r="DN116" s="1">
        <f>$AF116*Table1[[#This Row],[Total% (18-19)]]</f>
        <v>0</v>
      </c>
      <c r="DO116" s="1">
        <f>$CT116*Table1[[#This Row],[Female% (18-19)]]</f>
        <v>0</v>
      </c>
      <c r="DP116" s="1">
        <f>$CU116*Table1[[#This Row],[Male%(18-19)]]</f>
        <v>0</v>
      </c>
      <c r="DQ116" s="1">
        <f>$AF116*Table1[[#This Row],[Total% (20-24)]]</f>
        <v>0</v>
      </c>
      <c r="DR116" s="1">
        <f>$CT116*Table1[[#This Row],[Female% (20-24)]]</f>
        <v>0</v>
      </c>
      <c r="DS116" s="1">
        <f>$CU116*Table1[[#This Row],[Male% (20-24)]]</f>
        <v>0</v>
      </c>
      <c r="DT116" s="1">
        <f>$AF116*Table1[[#This Row],[Total% (25-29)]]</f>
        <v>0</v>
      </c>
      <c r="DU116" s="1">
        <f>$CT116*Table1[[#This Row],[Female% (25-29)]]</f>
        <v>0</v>
      </c>
      <c r="DV116" s="1">
        <f>$CU116*Table1[[#This Row],[Male% (25-29)]]</f>
        <v>0</v>
      </c>
      <c r="DW116" s="1">
        <f>$AF116*Table1[[#This Row],[Total%   (30-34)]]</f>
        <v>0</v>
      </c>
      <c r="DX116" s="1">
        <f>$CT116*Table1[[#This Row],[Female%   (30-34)]]</f>
        <v>0</v>
      </c>
      <c r="DY116" s="1">
        <f>$CU116*Table1[[#This Row],[Male%  (30-34)]]</f>
        <v>0</v>
      </c>
      <c r="DZ116" s="1">
        <f>$AF116*Table1[[#This Row],[Total% (35-39)]]</f>
        <v>0</v>
      </c>
      <c r="EA116" s="1">
        <f>$CT116*Table1[[#This Row],[Female% (35-39)]]</f>
        <v>0</v>
      </c>
      <c r="EB116" s="1">
        <f>$CU116*Table1[[#This Row],[Male% (35-39)]]</f>
        <v>0</v>
      </c>
      <c r="EC116" s="1">
        <f>$AF116*Table1[[#This Row],[Total% (40-44)]]</f>
        <v>0</v>
      </c>
      <c r="ED116" s="1">
        <f>$CT116*Table1[[#This Row],[Female% (40-44)]]</f>
        <v>0</v>
      </c>
      <c r="EE116" s="1">
        <f>$CU116*Table1[[#This Row],[Male%(55-59)]]</f>
        <v>0</v>
      </c>
      <c r="EF116" s="1">
        <f>$AF116*Table1[[#This Row],[Total% (45-49)]]</f>
        <v>0</v>
      </c>
      <c r="EG116" s="1">
        <f>$CT116*Table1[[#This Row],[Female% (45-49)]]</f>
        <v>0</v>
      </c>
      <c r="EH116" s="1">
        <f>$CU116*Table1[[#This Row],[Male% (45-49)]]</f>
        <v>0</v>
      </c>
      <c r="EI116" s="1">
        <f>$AF116*Table1[[#This Row],[Total% (50-54)]]</f>
        <v>0</v>
      </c>
      <c r="EJ116" s="1">
        <f>$CT116*Table1[[#This Row],[Female%(50-54)]]</f>
        <v>0</v>
      </c>
      <c r="EK116" s="1">
        <f>$CU116*Table1[[#This Row],[Male% (50-54)]]</f>
        <v>0</v>
      </c>
      <c r="EL116" s="1">
        <f>$AF116*Table1[[#This Row],[Total% (55-59)]]</f>
        <v>0</v>
      </c>
      <c r="EM116" s="1">
        <f>$CT116*Table1[[#This Row],[Female% (55-59)]]</f>
        <v>0</v>
      </c>
      <c r="EN116" s="1">
        <f>$CU116*Table1[[#This Row],[Male% (55-59)]]</f>
        <v>0</v>
      </c>
      <c r="EO116" s="1">
        <f>$AF116*Table1[[#This Row],[Total% (60-64)]]</f>
        <v>0</v>
      </c>
      <c r="EP116" s="1">
        <f>$CT116*Table1[[#This Row],[Female%(60-64)]]</f>
        <v>0</v>
      </c>
      <c r="EQ116" s="1">
        <f>$CU116*Table1[[#This Row],[Male%(60-64)]]</f>
        <v>0</v>
      </c>
      <c r="ER116" s="1">
        <f>$AF116*Table1[[#This Row],[Total% (&gt;=65)]]</f>
        <v>0</v>
      </c>
      <c r="ES116" s="1">
        <f>$CT116*Table1[[#This Row],[Female%(&gt;=65)]]</f>
        <v>0</v>
      </c>
      <c r="ET116" s="1">
        <f>$CU116*Table1[[#This Row],[Male% (&gt;=65)]]</f>
        <v>0</v>
      </c>
    </row>
    <row r="117" spans="1:150" hidden="1" x14ac:dyDescent="0.35">
      <c r="A117" t="s">
        <v>168</v>
      </c>
      <c r="B117" t="s">
        <v>169</v>
      </c>
      <c r="C117" t="s">
        <v>177</v>
      </c>
      <c r="D117" t="s">
        <v>178</v>
      </c>
      <c r="E117" t="s">
        <v>177</v>
      </c>
      <c r="F117" t="s">
        <v>179</v>
      </c>
      <c r="H117">
        <v>3</v>
      </c>
      <c r="I117" s="1">
        <v>0</v>
      </c>
      <c r="J117" s="1">
        <v>30395</v>
      </c>
      <c r="K117" s="1">
        <v>36243</v>
      </c>
      <c r="L117" s="1">
        <v>0</v>
      </c>
      <c r="M117" s="1">
        <v>0</v>
      </c>
      <c r="N117" s="1">
        <v>36243</v>
      </c>
      <c r="O117" s="3">
        <v>1</v>
      </c>
      <c r="P117" s="3">
        <v>0</v>
      </c>
      <c r="Q117" s="3">
        <v>0</v>
      </c>
      <c r="R117" s="3">
        <v>0</v>
      </c>
      <c r="S117" s="3">
        <v>0</v>
      </c>
      <c r="T117" s="1">
        <v>66638</v>
      </c>
      <c r="U117" s="1">
        <v>0</v>
      </c>
      <c r="V117" s="10">
        <f>Table1[[#This Row],[Pop NW+RATAA]]*Table1[[#This Row],[Perc_pop_Northern_Aleppo]]</f>
        <v>0</v>
      </c>
      <c r="W117" s="10">
        <f>Table1[[#This Row],[Pop NW+RATAA]]*Table1[[#This Row],[Perc_pop_Afrin District]]</f>
        <v>0</v>
      </c>
      <c r="X117" s="10">
        <f>Table1[[#This Row],[Pop NW+RATAA]]*Table1[[#This Row],[Perc_pop_Euphrates Shiled]]</f>
        <v>0</v>
      </c>
      <c r="Y117" s="10">
        <f>Table1[[#This Row],[Pop NW+RATAA]]*Table1[[#This Row],[Perc_Pop_Idleb_NSAG]]</f>
        <v>0</v>
      </c>
      <c r="Z117" s="3">
        <v>0</v>
      </c>
      <c r="AA117" s="3">
        <v>0</v>
      </c>
      <c r="AB117" s="3">
        <v>0</v>
      </c>
      <c r="AC117" s="3">
        <v>0</v>
      </c>
      <c r="AD117" s="1">
        <v>36243</v>
      </c>
      <c r="AE117" s="1">
        <v>0</v>
      </c>
      <c r="AF117" s="1">
        <v>0</v>
      </c>
      <c r="AG117" s="1">
        <v>0</v>
      </c>
      <c r="AH117" s="1">
        <v>0</v>
      </c>
      <c r="AI117" s="1">
        <f>Table1[[#This Row],[NWS_pin]]*Table1[[#This Row],[Perc_pop_Northern_Aleppo]]</f>
        <v>0</v>
      </c>
      <c r="AJ117" s="1">
        <f>Table1[[#This Row],[NWS_pin]]*Table1[[#This Row],[Perc_pop_Afrin District]]</f>
        <v>0</v>
      </c>
      <c r="AK117" s="1">
        <f>Table1[[#This Row],[NWS_pin]]*Table1[[#This Row],[Perc_pop_Euphrates Shiled]]</f>
        <v>0</v>
      </c>
      <c r="AL117" s="1">
        <f>Table1[[#This Row],[NWS_pin]]*Table1[[#This Row],[Perc_Pop_Idleb_NSAG]]</f>
        <v>0</v>
      </c>
      <c r="AM117" s="4">
        <v>0.51913700410529195</v>
      </c>
      <c r="AN117" s="4">
        <v>0.48086299589470799</v>
      </c>
      <c r="AO117" s="4">
        <v>8.1225687205828595E-2</v>
      </c>
      <c r="AP117" s="4">
        <v>0.36755429995821698</v>
      </c>
      <c r="AQ117" s="4">
        <v>0.53763646129950504</v>
      </c>
      <c r="AR117" s="4">
        <v>2.7418135151600301E-2</v>
      </c>
      <c r="AS117" s="4">
        <v>0</v>
      </c>
      <c r="AT117" s="4">
        <v>6.7391103590678E-2</v>
      </c>
      <c r="AU117" s="4">
        <v>9.4215479928666399E-2</v>
      </c>
      <c r="AV117" s="4">
        <v>6.2888921825935806E-2</v>
      </c>
      <c r="AW117" s="4">
        <v>0.12803545705567099</v>
      </c>
      <c r="AX117" s="4">
        <v>0.109467819547219</v>
      </c>
      <c r="AY117" s="4">
        <v>9.1271245655586697E-2</v>
      </c>
      <c r="AZ117" s="4">
        <v>0.12911273906843601</v>
      </c>
      <c r="BA117" s="4">
        <v>8.2729421502628603E-2</v>
      </c>
      <c r="BB117" s="4">
        <v>7.8764578424284901E-2</v>
      </c>
      <c r="BC117" s="4">
        <v>8.7009843941059706E-2</v>
      </c>
      <c r="BD117" s="4">
        <v>4.9418613273620002E-2</v>
      </c>
      <c r="BE117" s="4">
        <v>4.9615291931465397E-2</v>
      </c>
      <c r="BF117" s="4">
        <v>4.9206280093323403E-2</v>
      </c>
      <c r="BG117" s="4">
        <v>5.6103212784767702E-2</v>
      </c>
      <c r="BH117" s="4">
        <v>5.5142666146395798E-2</v>
      </c>
      <c r="BI117" s="4">
        <v>5.7140213569617002E-2</v>
      </c>
      <c r="BJ117" s="4">
        <v>5.0709924637735701E-2</v>
      </c>
      <c r="BK117" s="4">
        <v>2.5000226862312701E-2</v>
      </c>
      <c r="BL117" s="4">
        <v>7.8465970733052406E-2</v>
      </c>
      <c r="BM117" s="4">
        <v>3.8555441156174701E-2</v>
      </c>
      <c r="BN117" s="4">
        <v>5.2691208799703397E-2</v>
      </c>
      <c r="BO117" s="4">
        <v>2.3294545375379599E-2</v>
      </c>
      <c r="BP117" s="4">
        <v>4.5755099598124897E-2</v>
      </c>
      <c r="BQ117" s="4">
        <v>7.0058443092681097E-2</v>
      </c>
      <c r="BR117" s="4">
        <v>1.95173457280634E-2</v>
      </c>
      <c r="BS117" s="4">
        <v>0.115636662215734</v>
      </c>
      <c r="BT117" s="4">
        <v>0.12700995807920601</v>
      </c>
      <c r="BU117" s="4">
        <v>0.10335811553659099</v>
      </c>
      <c r="BV117" s="4">
        <v>8.9426583426722703E-2</v>
      </c>
      <c r="BW117" s="4">
        <v>0.114935169472869</v>
      </c>
      <c r="BX117" s="4">
        <v>6.1887656430854698E-2</v>
      </c>
      <c r="BY117" s="4">
        <v>7.6209878139360102E-2</v>
      </c>
      <c r="BZ117" s="4">
        <v>7.5493055828630598E-2</v>
      </c>
      <c r="CA117" s="4">
        <v>7.6983755501612794E-2</v>
      </c>
      <c r="CB117" s="4">
        <v>5.8848797925387303E-2</v>
      </c>
      <c r="CC117" s="4">
        <v>5.7269458316654698E-2</v>
      </c>
      <c r="CD117" s="4">
        <v>6.0553844144252002E-2</v>
      </c>
      <c r="CE117" s="4">
        <v>3.12568537122715E-2</v>
      </c>
      <c r="CF117" s="4">
        <v>2.9033334644093401E-2</v>
      </c>
      <c r="CG117" s="4">
        <v>3.3657352476950397E-2</v>
      </c>
      <c r="CH117" s="4">
        <v>2.59982625484983E-2</v>
      </c>
      <c r="CI117" s="4">
        <v>2.1324385211534801E-2</v>
      </c>
      <c r="CJ117" s="4">
        <v>3.1044154411631299E-2</v>
      </c>
      <c r="CK117" s="4">
        <v>2.21691692912513E-2</v>
      </c>
      <c r="CL117" s="4">
        <v>2.7449331562798999E-2</v>
      </c>
      <c r="CM117" s="4">
        <v>1.64687355996531E-2</v>
      </c>
      <c r="CN117" s="4">
        <v>2.3318455597889799E-2</v>
      </c>
      <c r="CO117" s="4">
        <v>2.3291197439783199E-2</v>
      </c>
      <c r="CP117" s="4">
        <v>2.3347883353108299E-2</v>
      </c>
      <c r="CQ117" s="4">
        <v>3.0180324713947701E-2</v>
      </c>
      <c r="CR117" s="4">
        <v>3.87615267060634E-2</v>
      </c>
      <c r="CS117" s="4">
        <v>2.09161069807439E-2</v>
      </c>
      <c r="CT117" s="1">
        <f>Table1[[#This Row],[Female %]]*Table1[[#This Row],[NWS_pin]]</f>
        <v>0</v>
      </c>
      <c r="CU117" s="1">
        <f>Table1[[#This Row],[Male %]]*Table1[[#This Row],[NWS_pin]]</f>
        <v>0</v>
      </c>
      <c r="CV117" s="1">
        <f>Table1[[#This Row],[Female% (0-2)22]]+Table1[[#This Row],[Male%(0-2)3]]</f>
        <v>0</v>
      </c>
      <c r="CW117" s="1">
        <f>$CT117*Table1[[#This Row],[Female% (0-2)]]</f>
        <v>0</v>
      </c>
      <c r="CX117" s="1">
        <f>$CU117*Table1[[#This Row],[Male%(0-2)]]</f>
        <v>0</v>
      </c>
      <c r="CY117" s="1">
        <f>Table1[[#This Row],[Female%  (3-5)5]]+Table1[[#This Row],[Male% (3-5)6]]</f>
        <v>0</v>
      </c>
      <c r="CZ117" s="1">
        <f>$AF117*Table1[[#This Row],[Female%  (3-5)]]</f>
        <v>0</v>
      </c>
      <c r="DA117" s="1">
        <f>$CU117*Table1[[#This Row],[Male% (3-5)]]</f>
        <v>0</v>
      </c>
      <c r="DB117" s="1">
        <f>Table1[[#This Row],[Female% (6-8)8]]+Table1[[#This Row],[Male%(6-8)9]]</f>
        <v>0</v>
      </c>
      <c r="DC117" s="1">
        <f>$CT117*Table1[[#This Row],[Female% (6-8)]]</f>
        <v>0</v>
      </c>
      <c r="DD117" s="1">
        <f>$CU117*Table1[[#This Row],[Male%(6-8)]]</f>
        <v>0</v>
      </c>
      <c r="DE117" s="1">
        <f>Table1[[#This Row],[Female% (9 - 11)11]]+Table1[[#This Row],[Male% (9 - 11)12]]</f>
        <v>0</v>
      </c>
      <c r="DF117" s="1">
        <f>$CT117*Table1[[#This Row],[Female% (9 - 11)]]</f>
        <v>0</v>
      </c>
      <c r="DG117" s="1">
        <f>$CU117*Table1[[#This Row],[Male% (9 - 11)]]</f>
        <v>0</v>
      </c>
      <c r="DH117" s="1">
        <f>Table1[[#This Row],[Female% (12-14)14]]+Table1[[#This Row],[Male%(12-14)15]]</f>
        <v>0</v>
      </c>
      <c r="DI117" s="1">
        <f>$CT117*Table1[[#This Row],[Female% (12-14)]]</f>
        <v>0</v>
      </c>
      <c r="DJ117" s="1">
        <f>$CU117*Table1[[#This Row],[Male%(12-14)]]</f>
        <v>0</v>
      </c>
      <c r="DK117" s="1">
        <f>Table1[[#This Row],[Female% (15-17)17]]+Table1[[#This Row],[Male%(15-17)18]]</f>
        <v>0</v>
      </c>
      <c r="DL117" s="1">
        <f>$CT117*Table1[[#This Row],[Female% (15-17)]]</f>
        <v>0</v>
      </c>
      <c r="DM117" s="1">
        <f>$CU117*Table1[[#This Row],[Male%(15-17)]]</f>
        <v>0</v>
      </c>
      <c r="DN117" s="1">
        <f>$AF117*Table1[[#This Row],[Total% (18-19)]]</f>
        <v>0</v>
      </c>
      <c r="DO117" s="1">
        <f>$CT117*Table1[[#This Row],[Female% (18-19)]]</f>
        <v>0</v>
      </c>
      <c r="DP117" s="1">
        <f>$CU117*Table1[[#This Row],[Male%(18-19)]]</f>
        <v>0</v>
      </c>
      <c r="DQ117" s="1">
        <f>$AF117*Table1[[#This Row],[Total% (20-24)]]</f>
        <v>0</v>
      </c>
      <c r="DR117" s="1">
        <f>$CT117*Table1[[#This Row],[Female% (20-24)]]</f>
        <v>0</v>
      </c>
      <c r="DS117" s="1">
        <f>$CU117*Table1[[#This Row],[Male% (20-24)]]</f>
        <v>0</v>
      </c>
      <c r="DT117" s="1">
        <f>$AF117*Table1[[#This Row],[Total% (25-29)]]</f>
        <v>0</v>
      </c>
      <c r="DU117" s="1">
        <f>$CT117*Table1[[#This Row],[Female% (25-29)]]</f>
        <v>0</v>
      </c>
      <c r="DV117" s="1">
        <f>$CU117*Table1[[#This Row],[Male% (25-29)]]</f>
        <v>0</v>
      </c>
      <c r="DW117" s="1">
        <f>$AF117*Table1[[#This Row],[Total%   (30-34)]]</f>
        <v>0</v>
      </c>
      <c r="DX117" s="1">
        <f>$CT117*Table1[[#This Row],[Female%   (30-34)]]</f>
        <v>0</v>
      </c>
      <c r="DY117" s="1">
        <f>$CU117*Table1[[#This Row],[Male%  (30-34)]]</f>
        <v>0</v>
      </c>
      <c r="DZ117" s="1">
        <f>$AF117*Table1[[#This Row],[Total% (35-39)]]</f>
        <v>0</v>
      </c>
      <c r="EA117" s="1">
        <f>$CT117*Table1[[#This Row],[Female% (35-39)]]</f>
        <v>0</v>
      </c>
      <c r="EB117" s="1">
        <f>$CU117*Table1[[#This Row],[Male% (35-39)]]</f>
        <v>0</v>
      </c>
      <c r="EC117" s="1">
        <f>$AF117*Table1[[#This Row],[Total% (40-44)]]</f>
        <v>0</v>
      </c>
      <c r="ED117" s="1">
        <f>$CT117*Table1[[#This Row],[Female% (40-44)]]</f>
        <v>0</v>
      </c>
      <c r="EE117" s="1">
        <f>$CU117*Table1[[#This Row],[Male%(55-59)]]</f>
        <v>0</v>
      </c>
      <c r="EF117" s="1">
        <f>$AF117*Table1[[#This Row],[Total% (45-49)]]</f>
        <v>0</v>
      </c>
      <c r="EG117" s="1">
        <f>$CT117*Table1[[#This Row],[Female% (45-49)]]</f>
        <v>0</v>
      </c>
      <c r="EH117" s="1">
        <f>$CU117*Table1[[#This Row],[Male% (45-49)]]</f>
        <v>0</v>
      </c>
      <c r="EI117" s="1">
        <f>$AF117*Table1[[#This Row],[Total% (50-54)]]</f>
        <v>0</v>
      </c>
      <c r="EJ117" s="1">
        <f>$CT117*Table1[[#This Row],[Female%(50-54)]]</f>
        <v>0</v>
      </c>
      <c r="EK117" s="1">
        <f>$CU117*Table1[[#This Row],[Male% (50-54)]]</f>
        <v>0</v>
      </c>
      <c r="EL117" s="1">
        <f>$AF117*Table1[[#This Row],[Total% (55-59)]]</f>
        <v>0</v>
      </c>
      <c r="EM117" s="1">
        <f>$CT117*Table1[[#This Row],[Female% (55-59)]]</f>
        <v>0</v>
      </c>
      <c r="EN117" s="1">
        <f>$CU117*Table1[[#This Row],[Male% (55-59)]]</f>
        <v>0</v>
      </c>
      <c r="EO117" s="1">
        <f>$AF117*Table1[[#This Row],[Total% (60-64)]]</f>
        <v>0</v>
      </c>
      <c r="EP117" s="1">
        <f>$CT117*Table1[[#This Row],[Female%(60-64)]]</f>
        <v>0</v>
      </c>
      <c r="EQ117" s="1">
        <f>$CU117*Table1[[#This Row],[Male%(60-64)]]</f>
        <v>0</v>
      </c>
      <c r="ER117" s="1">
        <f>$AF117*Table1[[#This Row],[Total% (&gt;=65)]]</f>
        <v>0</v>
      </c>
      <c r="ES117" s="1">
        <f>$CT117*Table1[[#This Row],[Female%(&gt;=65)]]</f>
        <v>0</v>
      </c>
      <c r="ET117" s="1">
        <f>$CU117*Table1[[#This Row],[Male% (&gt;=65)]]</f>
        <v>0</v>
      </c>
    </row>
    <row r="118" spans="1:150" hidden="1" x14ac:dyDescent="0.35">
      <c r="A118" t="s">
        <v>168</v>
      </c>
      <c r="B118" t="s">
        <v>169</v>
      </c>
      <c r="C118" t="s">
        <v>177</v>
      </c>
      <c r="D118" t="s">
        <v>178</v>
      </c>
      <c r="E118" t="s">
        <v>220</v>
      </c>
      <c r="F118" t="s">
        <v>221</v>
      </c>
      <c r="H118">
        <v>3</v>
      </c>
      <c r="I118" s="1">
        <v>0</v>
      </c>
      <c r="J118" s="1">
        <v>10150</v>
      </c>
      <c r="K118" s="1">
        <v>29864</v>
      </c>
      <c r="L118" s="1">
        <v>0</v>
      </c>
      <c r="M118" s="1">
        <v>0</v>
      </c>
      <c r="N118" s="1">
        <v>29864</v>
      </c>
      <c r="O118" s="3">
        <v>1</v>
      </c>
      <c r="P118" s="3">
        <v>0</v>
      </c>
      <c r="Q118" s="3">
        <v>0</v>
      </c>
      <c r="R118" s="3">
        <v>0</v>
      </c>
      <c r="S118" s="3">
        <v>0</v>
      </c>
      <c r="T118" s="1">
        <v>40014</v>
      </c>
      <c r="U118" s="1">
        <v>0</v>
      </c>
      <c r="V118" s="10">
        <f>Table1[[#This Row],[Pop NW+RATAA]]*Table1[[#This Row],[Perc_pop_Northern_Aleppo]]</f>
        <v>0</v>
      </c>
      <c r="W118" s="10">
        <f>Table1[[#This Row],[Pop NW+RATAA]]*Table1[[#This Row],[Perc_pop_Afrin District]]</f>
        <v>0</v>
      </c>
      <c r="X118" s="10">
        <f>Table1[[#This Row],[Pop NW+RATAA]]*Table1[[#This Row],[Perc_pop_Euphrates Shiled]]</f>
        <v>0</v>
      </c>
      <c r="Y118" s="10">
        <f>Table1[[#This Row],[Pop NW+RATAA]]*Table1[[#This Row],[Perc_Pop_Idleb_NSAG]]</f>
        <v>0</v>
      </c>
      <c r="Z118" s="3">
        <v>0</v>
      </c>
      <c r="AA118" s="3">
        <v>0</v>
      </c>
      <c r="AB118" s="3">
        <v>0</v>
      </c>
      <c r="AC118" s="3">
        <v>0</v>
      </c>
      <c r="AD118" s="1">
        <v>29864</v>
      </c>
      <c r="AE118" s="1">
        <v>0</v>
      </c>
      <c r="AF118" s="1">
        <v>0</v>
      </c>
      <c r="AG118" s="1">
        <v>0</v>
      </c>
      <c r="AH118" s="1">
        <v>0</v>
      </c>
      <c r="AI118" s="1">
        <f>Table1[[#This Row],[NWS_pin]]*Table1[[#This Row],[Perc_pop_Northern_Aleppo]]</f>
        <v>0</v>
      </c>
      <c r="AJ118" s="1">
        <f>Table1[[#This Row],[NWS_pin]]*Table1[[#This Row],[Perc_pop_Afrin District]]</f>
        <v>0</v>
      </c>
      <c r="AK118" s="1">
        <f>Table1[[#This Row],[NWS_pin]]*Table1[[#This Row],[Perc_pop_Euphrates Shiled]]</f>
        <v>0</v>
      </c>
      <c r="AL118" s="1">
        <f>Table1[[#This Row],[NWS_pin]]*Table1[[#This Row],[Perc_Pop_Idleb_NSAG]]</f>
        <v>0</v>
      </c>
      <c r="AM118" s="4">
        <v>0.50800795487358896</v>
      </c>
      <c r="AN118" s="4">
        <v>0.49199204512641098</v>
      </c>
      <c r="AO118" s="4">
        <v>9.3238909034335002E-2</v>
      </c>
      <c r="AP118" s="4">
        <v>0.46141573865533497</v>
      </c>
      <c r="AQ118" s="4">
        <v>0.44447807817455198</v>
      </c>
      <c r="AR118" s="4">
        <v>2.9703366264323398E-2</v>
      </c>
      <c r="AS118" s="4">
        <v>4.7044407509759401E-3</v>
      </c>
      <c r="AT118" s="4">
        <v>5.9698376154813201E-2</v>
      </c>
      <c r="AU118" s="4">
        <v>2.7224573703841001E-2</v>
      </c>
      <c r="AV118" s="4">
        <v>2.8446965068800699E-2</v>
      </c>
      <c r="AW118" s="4">
        <v>2.5962389602452101E-2</v>
      </c>
      <c r="AX118" s="4">
        <v>5.7718159296583499E-2</v>
      </c>
      <c r="AY118" s="4">
        <v>3.2946627919966699E-2</v>
      </c>
      <c r="AZ118" s="4">
        <v>8.3296083001607402E-2</v>
      </c>
      <c r="BA118" s="4">
        <v>6.61409938264826E-2</v>
      </c>
      <c r="BB118" s="4">
        <v>7.04983068445523E-2</v>
      </c>
      <c r="BC118" s="4">
        <v>6.16418363767215E-2</v>
      </c>
      <c r="BD118" s="4">
        <v>8.2734918823546402E-2</v>
      </c>
      <c r="BE118" s="4">
        <v>7.1352453520621195E-2</v>
      </c>
      <c r="BF118" s="4">
        <v>9.4487919664185793E-2</v>
      </c>
      <c r="BG118" s="4">
        <v>0.111091767298422</v>
      </c>
      <c r="BH118" s="4">
        <v>0.110288980203281</v>
      </c>
      <c r="BI118" s="4">
        <v>0.111920687673134</v>
      </c>
      <c r="BJ118" s="4">
        <v>8.3194078361723295E-2</v>
      </c>
      <c r="BK118" s="4">
        <v>8.2603807309973798E-2</v>
      </c>
      <c r="BL118" s="4">
        <v>8.3803564618240498E-2</v>
      </c>
      <c r="BM118" s="4">
        <v>4.9340095419279299E-2</v>
      </c>
      <c r="BN118" s="4">
        <v>3.7125218572529803E-2</v>
      </c>
      <c r="BO118" s="4">
        <v>6.1952605453573902E-2</v>
      </c>
      <c r="BP118" s="4">
        <v>4.1445141239381297E-2</v>
      </c>
      <c r="BQ118" s="4">
        <v>3.5862382747208398E-2</v>
      </c>
      <c r="BR118" s="4">
        <v>4.7209636320665001E-2</v>
      </c>
      <c r="BS118" s="4">
        <v>2.3063610564694598E-2</v>
      </c>
      <c r="BT118" s="4">
        <v>3.2058411236772902E-2</v>
      </c>
      <c r="BU118" s="4">
        <v>1.37760004515189E-2</v>
      </c>
      <c r="BV118" s="4">
        <v>8.9998320906879703E-2</v>
      </c>
      <c r="BW118" s="4">
        <v>0.10769293683818</v>
      </c>
      <c r="BX118" s="4">
        <v>7.1727688809111206E-2</v>
      </c>
      <c r="BY118" s="4">
        <v>9.1517011610007595E-2</v>
      </c>
      <c r="BZ118" s="4">
        <v>8.1769167603537293E-2</v>
      </c>
      <c r="CA118" s="4">
        <v>0.10158217901913</v>
      </c>
      <c r="CB118" s="4">
        <v>9.8304585945982695E-2</v>
      </c>
      <c r="CC118" s="4">
        <v>9.3322567153582295E-2</v>
      </c>
      <c r="CD118" s="4">
        <v>0.10344878533485501</v>
      </c>
      <c r="CE118" s="4">
        <v>2.6627694001754E-2</v>
      </c>
      <c r="CF118" s="4">
        <v>3.47567092880567E-2</v>
      </c>
      <c r="CG118" s="4">
        <v>1.8234053349150101E-2</v>
      </c>
      <c r="CH118" s="4">
        <v>6.9619369407826703E-2</v>
      </c>
      <c r="CI118" s="4">
        <v>7.2373867590514396E-2</v>
      </c>
      <c r="CJ118" s="4">
        <v>6.67752035267897E-2</v>
      </c>
      <c r="CK118" s="4">
        <v>2.4987322672266599E-2</v>
      </c>
      <c r="CL118" s="4">
        <v>2.41405814712452E-2</v>
      </c>
      <c r="CM118" s="4">
        <v>2.5861627999149601E-2</v>
      </c>
      <c r="CN118" s="4">
        <v>2.1769916626206E-3</v>
      </c>
      <c r="CO118" s="4">
        <v>0</v>
      </c>
      <c r="CP118" s="4">
        <v>4.4248513450278497E-3</v>
      </c>
      <c r="CQ118" s="4">
        <v>5.4815365258708199E-2</v>
      </c>
      <c r="CR118" s="4">
        <v>8.4761016631177494E-2</v>
      </c>
      <c r="CS118" s="4">
        <v>2.38948874546882E-2</v>
      </c>
      <c r="CT118" s="1">
        <f>Table1[[#This Row],[Female %]]*Table1[[#This Row],[NWS_pin]]</f>
        <v>0</v>
      </c>
      <c r="CU118" s="1">
        <f>Table1[[#This Row],[Male %]]*Table1[[#This Row],[NWS_pin]]</f>
        <v>0</v>
      </c>
      <c r="CV118" s="1">
        <f>Table1[[#This Row],[Female% (0-2)22]]+Table1[[#This Row],[Male%(0-2)3]]</f>
        <v>0</v>
      </c>
      <c r="CW118" s="1">
        <f>$CT118*Table1[[#This Row],[Female% (0-2)]]</f>
        <v>0</v>
      </c>
      <c r="CX118" s="1">
        <f>$CU118*Table1[[#This Row],[Male%(0-2)]]</f>
        <v>0</v>
      </c>
      <c r="CY118" s="1">
        <f>Table1[[#This Row],[Female%  (3-5)5]]+Table1[[#This Row],[Male% (3-5)6]]</f>
        <v>0</v>
      </c>
      <c r="CZ118" s="1">
        <f>$AF118*Table1[[#This Row],[Female%  (3-5)]]</f>
        <v>0</v>
      </c>
      <c r="DA118" s="1">
        <f>$CU118*Table1[[#This Row],[Male% (3-5)]]</f>
        <v>0</v>
      </c>
      <c r="DB118" s="1">
        <f>Table1[[#This Row],[Female% (6-8)8]]+Table1[[#This Row],[Male%(6-8)9]]</f>
        <v>0</v>
      </c>
      <c r="DC118" s="1">
        <f>$CT118*Table1[[#This Row],[Female% (6-8)]]</f>
        <v>0</v>
      </c>
      <c r="DD118" s="1">
        <f>$CU118*Table1[[#This Row],[Male%(6-8)]]</f>
        <v>0</v>
      </c>
      <c r="DE118" s="1">
        <f>Table1[[#This Row],[Female% (9 - 11)11]]+Table1[[#This Row],[Male% (9 - 11)12]]</f>
        <v>0</v>
      </c>
      <c r="DF118" s="1">
        <f>$CT118*Table1[[#This Row],[Female% (9 - 11)]]</f>
        <v>0</v>
      </c>
      <c r="DG118" s="1">
        <f>$CU118*Table1[[#This Row],[Male% (9 - 11)]]</f>
        <v>0</v>
      </c>
      <c r="DH118" s="1">
        <f>Table1[[#This Row],[Female% (12-14)14]]+Table1[[#This Row],[Male%(12-14)15]]</f>
        <v>0</v>
      </c>
      <c r="DI118" s="1">
        <f>$CT118*Table1[[#This Row],[Female% (12-14)]]</f>
        <v>0</v>
      </c>
      <c r="DJ118" s="1">
        <f>$CU118*Table1[[#This Row],[Male%(12-14)]]</f>
        <v>0</v>
      </c>
      <c r="DK118" s="1">
        <f>Table1[[#This Row],[Female% (15-17)17]]+Table1[[#This Row],[Male%(15-17)18]]</f>
        <v>0</v>
      </c>
      <c r="DL118" s="1">
        <f>$CT118*Table1[[#This Row],[Female% (15-17)]]</f>
        <v>0</v>
      </c>
      <c r="DM118" s="1">
        <f>$CU118*Table1[[#This Row],[Male%(15-17)]]</f>
        <v>0</v>
      </c>
      <c r="DN118" s="1">
        <f>$AF118*Table1[[#This Row],[Total% (18-19)]]</f>
        <v>0</v>
      </c>
      <c r="DO118" s="1">
        <f>$CT118*Table1[[#This Row],[Female% (18-19)]]</f>
        <v>0</v>
      </c>
      <c r="DP118" s="1">
        <f>$CU118*Table1[[#This Row],[Male%(18-19)]]</f>
        <v>0</v>
      </c>
      <c r="DQ118" s="1">
        <f>$AF118*Table1[[#This Row],[Total% (20-24)]]</f>
        <v>0</v>
      </c>
      <c r="DR118" s="1">
        <f>$CT118*Table1[[#This Row],[Female% (20-24)]]</f>
        <v>0</v>
      </c>
      <c r="DS118" s="1">
        <f>$CU118*Table1[[#This Row],[Male% (20-24)]]</f>
        <v>0</v>
      </c>
      <c r="DT118" s="1">
        <f>$AF118*Table1[[#This Row],[Total% (25-29)]]</f>
        <v>0</v>
      </c>
      <c r="DU118" s="1">
        <f>$CT118*Table1[[#This Row],[Female% (25-29)]]</f>
        <v>0</v>
      </c>
      <c r="DV118" s="1">
        <f>$CU118*Table1[[#This Row],[Male% (25-29)]]</f>
        <v>0</v>
      </c>
      <c r="DW118" s="1">
        <f>$AF118*Table1[[#This Row],[Total%   (30-34)]]</f>
        <v>0</v>
      </c>
      <c r="DX118" s="1">
        <f>$CT118*Table1[[#This Row],[Female%   (30-34)]]</f>
        <v>0</v>
      </c>
      <c r="DY118" s="1">
        <f>$CU118*Table1[[#This Row],[Male%  (30-34)]]</f>
        <v>0</v>
      </c>
      <c r="DZ118" s="1">
        <f>$AF118*Table1[[#This Row],[Total% (35-39)]]</f>
        <v>0</v>
      </c>
      <c r="EA118" s="1">
        <f>$CT118*Table1[[#This Row],[Female% (35-39)]]</f>
        <v>0</v>
      </c>
      <c r="EB118" s="1">
        <f>$CU118*Table1[[#This Row],[Male% (35-39)]]</f>
        <v>0</v>
      </c>
      <c r="EC118" s="1">
        <f>$AF118*Table1[[#This Row],[Total% (40-44)]]</f>
        <v>0</v>
      </c>
      <c r="ED118" s="1">
        <f>$CT118*Table1[[#This Row],[Female% (40-44)]]</f>
        <v>0</v>
      </c>
      <c r="EE118" s="1">
        <f>$CU118*Table1[[#This Row],[Male%(55-59)]]</f>
        <v>0</v>
      </c>
      <c r="EF118" s="1">
        <f>$AF118*Table1[[#This Row],[Total% (45-49)]]</f>
        <v>0</v>
      </c>
      <c r="EG118" s="1">
        <f>$CT118*Table1[[#This Row],[Female% (45-49)]]</f>
        <v>0</v>
      </c>
      <c r="EH118" s="1">
        <f>$CU118*Table1[[#This Row],[Male% (45-49)]]</f>
        <v>0</v>
      </c>
      <c r="EI118" s="1">
        <f>$AF118*Table1[[#This Row],[Total% (50-54)]]</f>
        <v>0</v>
      </c>
      <c r="EJ118" s="1">
        <f>$CT118*Table1[[#This Row],[Female%(50-54)]]</f>
        <v>0</v>
      </c>
      <c r="EK118" s="1">
        <f>$CU118*Table1[[#This Row],[Male% (50-54)]]</f>
        <v>0</v>
      </c>
      <c r="EL118" s="1">
        <f>$AF118*Table1[[#This Row],[Total% (55-59)]]</f>
        <v>0</v>
      </c>
      <c r="EM118" s="1">
        <f>$CT118*Table1[[#This Row],[Female% (55-59)]]</f>
        <v>0</v>
      </c>
      <c r="EN118" s="1">
        <f>$CU118*Table1[[#This Row],[Male% (55-59)]]</f>
        <v>0</v>
      </c>
      <c r="EO118" s="1">
        <f>$AF118*Table1[[#This Row],[Total% (60-64)]]</f>
        <v>0</v>
      </c>
      <c r="EP118" s="1">
        <f>$CT118*Table1[[#This Row],[Female%(60-64)]]</f>
        <v>0</v>
      </c>
      <c r="EQ118" s="1">
        <f>$CU118*Table1[[#This Row],[Male%(60-64)]]</f>
        <v>0</v>
      </c>
      <c r="ER118" s="1">
        <f>$AF118*Table1[[#This Row],[Total% (&gt;=65)]]</f>
        <v>0</v>
      </c>
      <c r="ES118" s="1">
        <f>$CT118*Table1[[#This Row],[Female%(&gt;=65)]]</f>
        <v>0</v>
      </c>
      <c r="ET118" s="1">
        <f>$CU118*Table1[[#This Row],[Male% (&gt;=65)]]</f>
        <v>0</v>
      </c>
    </row>
    <row r="119" spans="1:150" hidden="1" x14ac:dyDescent="0.35">
      <c r="A119" t="s">
        <v>168</v>
      </c>
      <c r="B119" t="s">
        <v>169</v>
      </c>
      <c r="C119" t="s">
        <v>177</v>
      </c>
      <c r="D119" t="s">
        <v>178</v>
      </c>
      <c r="E119" t="s">
        <v>512</v>
      </c>
      <c r="F119" t="s">
        <v>513</v>
      </c>
      <c r="H119">
        <v>3</v>
      </c>
      <c r="I119" s="1">
        <v>0</v>
      </c>
      <c r="J119" s="1">
        <v>1227</v>
      </c>
      <c r="K119" s="1">
        <v>41736</v>
      </c>
      <c r="L119" s="1">
        <v>4591</v>
      </c>
      <c r="M119" s="1">
        <v>0</v>
      </c>
      <c r="N119" s="1">
        <v>46327</v>
      </c>
      <c r="O119" s="3">
        <v>1</v>
      </c>
      <c r="P119" s="3">
        <v>0</v>
      </c>
      <c r="Q119" s="3">
        <v>0</v>
      </c>
      <c r="R119" s="3">
        <v>0</v>
      </c>
      <c r="S119" s="3">
        <v>0</v>
      </c>
      <c r="T119" s="1">
        <v>47554</v>
      </c>
      <c r="U119" s="1">
        <v>0</v>
      </c>
      <c r="V119" s="10">
        <f>Table1[[#This Row],[Pop NW+RATAA]]*Table1[[#This Row],[Perc_pop_Northern_Aleppo]]</f>
        <v>0</v>
      </c>
      <c r="W119" s="10">
        <f>Table1[[#This Row],[Pop NW+RATAA]]*Table1[[#This Row],[Perc_pop_Afrin District]]</f>
        <v>0</v>
      </c>
      <c r="X119" s="10">
        <f>Table1[[#This Row],[Pop NW+RATAA]]*Table1[[#This Row],[Perc_pop_Euphrates Shiled]]</f>
        <v>0</v>
      </c>
      <c r="Y119" s="10">
        <f>Table1[[#This Row],[Pop NW+RATAA]]*Table1[[#This Row],[Perc_Pop_Idleb_NSAG]]</f>
        <v>0</v>
      </c>
      <c r="Z119" s="3">
        <v>0</v>
      </c>
      <c r="AA119" s="3">
        <v>0</v>
      </c>
      <c r="AB119" s="3">
        <v>0</v>
      </c>
      <c r="AC119" s="3">
        <v>0</v>
      </c>
      <c r="AD119" s="1">
        <v>46327</v>
      </c>
      <c r="AE119" s="1">
        <v>0</v>
      </c>
      <c r="AF119" s="1">
        <v>0</v>
      </c>
      <c r="AG119" s="1">
        <v>0</v>
      </c>
      <c r="AH119" s="1">
        <v>0</v>
      </c>
      <c r="AI119" s="1">
        <f>Table1[[#This Row],[NWS_pin]]*Table1[[#This Row],[Perc_pop_Northern_Aleppo]]</f>
        <v>0</v>
      </c>
      <c r="AJ119" s="1">
        <f>Table1[[#This Row],[NWS_pin]]*Table1[[#This Row],[Perc_pop_Afrin District]]</f>
        <v>0</v>
      </c>
      <c r="AK119" s="1">
        <f>Table1[[#This Row],[NWS_pin]]*Table1[[#This Row],[Perc_pop_Euphrates Shiled]]</f>
        <v>0</v>
      </c>
      <c r="AL119" s="1">
        <f>Table1[[#This Row],[NWS_pin]]*Table1[[#This Row],[Perc_Pop_Idleb_NSAG]]</f>
        <v>0</v>
      </c>
      <c r="AM119" s="4">
        <v>0.517165377926738</v>
      </c>
      <c r="AN119" s="4">
        <v>0.482834622073262</v>
      </c>
      <c r="AO119" s="4">
        <v>1.4820691843859099E-2</v>
      </c>
      <c r="AP119" s="4">
        <v>0.52362649739770395</v>
      </c>
      <c r="AQ119" s="4">
        <v>0.42659528582070599</v>
      </c>
      <c r="AR119" s="4">
        <v>1.3812315838906601E-2</v>
      </c>
      <c r="AS119" s="4">
        <v>0</v>
      </c>
      <c r="AT119" s="4">
        <v>3.59659009426836E-2</v>
      </c>
      <c r="AU119" s="4">
        <v>2.19406991281728E-2</v>
      </c>
      <c r="AV119" s="4">
        <v>1.8556146466258399E-2</v>
      </c>
      <c r="AW119" s="4">
        <v>2.55659019957632E-2</v>
      </c>
      <c r="AX119" s="4">
        <v>3.3525389673801302E-2</v>
      </c>
      <c r="AY119" s="4">
        <v>3.6473740788411001E-2</v>
      </c>
      <c r="AZ119" s="4">
        <v>3.0367403380480999E-2</v>
      </c>
      <c r="BA119" s="4">
        <v>5.33175004565292E-2</v>
      </c>
      <c r="BB119" s="4">
        <v>2.50410640918198E-2</v>
      </c>
      <c r="BC119" s="4">
        <v>8.3604462555857406E-2</v>
      </c>
      <c r="BD119" s="4">
        <v>8.6223520346785307E-2</v>
      </c>
      <c r="BE119" s="4">
        <v>8.81990624172862E-2</v>
      </c>
      <c r="BF119" s="4">
        <v>8.4107512267013004E-2</v>
      </c>
      <c r="BG119" s="4">
        <v>9.2719473534886201E-2</v>
      </c>
      <c r="BH119" s="4">
        <v>9.2425174755619094E-2</v>
      </c>
      <c r="BI119" s="4">
        <v>9.3034697697456606E-2</v>
      </c>
      <c r="BJ119" s="4">
        <v>0.11678364518952999</v>
      </c>
      <c r="BK119" s="4">
        <v>0.13736798692351199</v>
      </c>
      <c r="BL119" s="4">
        <v>9.4735704993119702E-2</v>
      </c>
      <c r="BM119" s="4">
        <v>9.7543179711080702E-2</v>
      </c>
      <c r="BN119" s="4">
        <v>0.119688306828892</v>
      </c>
      <c r="BO119" s="4">
        <v>7.3823478365014197E-2</v>
      </c>
      <c r="BP119" s="4">
        <v>9.4956778488951996E-2</v>
      </c>
      <c r="BQ119" s="4">
        <v>6.9618361204639601E-2</v>
      </c>
      <c r="BR119" s="4">
        <v>0.122096820962788</v>
      </c>
      <c r="BS119" s="4">
        <v>3.4048087576663701E-2</v>
      </c>
      <c r="BT119" s="4">
        <v>3.8930079479659999E-2</v>
      </c>
      <c r="BU119" s="4">
        <v>2.88189737722164E-2</v>
      </c>
      <c r="BV119" s="4">
        <v>6.4935266891668605E-2</v>
      </c>
      <c r="BW119" s="4">
        <v>7.6865954135783801E-2</v>
      </c>
      <c r="BX119" s="4">
        <v>5.2156277781413199E-2</v>
      </c>
      <c r="BY119" s="4">
        <v>6.7406199706066303E-2</v>
      </c>
      <c r="BZ119" s="4">
        <v>8.1658394273144003E-2</v>
      </c>
      <c r="CA119" s="4">
        <v>5.2140638264099502E-2</v>
      </c>
      <c r="CB119" s="4">
        <v>0.11184849382714999</v>
      </c>
      <c r="CC119" s="4">
        <v>0.103541288736753</v>
      </c>
      <c r="CD119" s="4">
        <v>0.120746362090287</v>
      </c>
      <c r="CE119" s="4">
        <v>8.5878064621871003E-2</v>
      </c>
      <c r="CF119" s="4">
        <v>8.5882307047132206E-2</v>
      </c>
      <c r="CG119" s="4">
        <v>8.5873520549504895E-2</v>
      </c>
      <c r="CH119" s="4">
        <v>2.55555893284902E-2</v>
      </c>
      <c r="CI119" s="4">
        <v>4.23457599285758E-3</v>
      </c>
      <c r="CJ119" s="4">
        <v>4.8392580329997999E-2</v>
      </c>
      <c r="CK119" s="4">
        <v>2.1899760937056801E-3</v>
      </c>
      <c r="CL119" s="4">
        <v>0</v>
      </c>
      <c r="CM119" s="4">
        <v>4.5356649949874397E-3</v>
      </c>
      <c r="CN119" s="4">
        <v>2.5113269783885298E-3</v>
      </c>
      <c r="CO119" s="4">
        <v>4.8559456714913404E-3</v>
      </c>
      <c r="CP119" s="4">
        <v>0</v>
      </c>
      <c r="CQ119" s="4">
        <v>8.6168084462585198E-3</v>
      </c>
      <c r="CR119" s="4">
        <v>1.6661611186739499E-2</v>
      </c>
      <c r="CS119" s="4">
        <v>0</v>
      </c>
      <c r="CT119" s="1">
        <f>Table1[[#This Row],[Female %]]*Table1[[#This Row],[NWS_pin]]</f>
        <v>0</v>
      </c>
      <c r="CU119" s="1">
        <f>Table1[[#This Row],[Male %]]*Table1[[#This Row],[NWS_pin]]</f>
        <v>0</v>
      </c>
      <c r="CV119" s="1">
        <f>Table1[[#This Row],[Female% (0-2)22]]+Table1[[#This Row],[Male%(0-2)3]]</f>
        <v>0</v>
      </c>
      <c r="CW119" s="1">
        <f>$CT119*Table1[[#This Row],[Female% (0-2)]]</f>
        <v>0</v>
      </c>
      <c r="CX119" s="1">
        <f>$CU119*Table1[[#This Row],[Male%(0-2)]]</f>
        <v>0</v>
      </c>
      <c r="CY119" s="1">
        <f>Table1[[#This Row],[Female%  (3-5)5]]+Table1[[#This Row],[Male% (3-5)6]]</f>
        <v>0</v>
      </c>
      <c r="CZ119" s="1">
        <f>$AF119*Table1[[#This Row],[Female%  (3-5)]]</f>
        <v>0</v>
      </c>
      <c r="DA119" s="1">
        <f>$CU119*Table1[[#This Row],[Male% (3-5)]]</f>
        <v>0</v>
      </c>
      <c r="DB119" s="1">
        <f>Table1[[#This Row],[Female% (6-8)8]]+Table1[[#This Row],[Male%(6-8)9]]</f>
        <v>0</v>
      </c>
      <c r="DC119" s="1">
        <f>$CT119*Table1[[#This Row],[Female% (6-8)]]</f>
        <v>0</v>
      </c>
      <c r="DD119" s="1">
        <f>$CU119*Table1[[#This Row],[Male%(6-8)]]</f>
        <v>0</v>
      </c>
      <c r="DE119" s="1">
        <f>Table1[[#This Row],[Female% (9 - 11)11]]+Table1[[#This Row],[Male% (9 - 11)12]]</f>
        <v>0</v>
      </c>
      <c r="DF119" s="1">
        <f>$CT119*Table1[[#This Row],[Female% (9 - 11)]]</f>
        <v>0</v>
      </c>
      <c r="DG119" s="1">
        <f>$CU119*Table1[[#This Row],[Male% (9 - 11)]]</f>
        <v>0</v>
      </c>
      <c r="DH119" s="1">
        <f>Table1[[#This Row],[Female% (12-14)14]]+Table1[[#This Row],[Male%(12-14)15]]</f>
        <v>0</v>
      </c>
      <c r="DI119" s="1">
        <f>$CT119*Table1[[#This Row],[Female% (12-14)]]</f>
        <v>0</v>
      </c>
      <c r="DJ119" s="1">
        <f>$CU119*Table1[[#This Row],[Male%(12-14)]]</f>
        <v>0</v>
      </c>
      <c r="DK119" s="1">
        <f>Table1[[#This Row],[Female% (15-17)17]]+Table1[[#This Row],[Male%(15-17)18]]</f>
        <v>0</v>
      </c>
      <c r="DL119" s="1">
        <f>$CT119*Table1[[#This Row],[Female% (15-17)]]</f>
        <v>0</v>
      </c>
      <c r="DM119" s="1">
        <f>$CU119*Table1[[#This Row],[Male%(15-17)]]</f>
        <v>0</v>
      </c>
      <c r="DN119" s="1">
        <f>$AF119*Table1[[#This Row],[Total% (18-19)]]</f>
        <v>0</v>
      </c>
      <c r="DO119" s="1">
        <f>$CT119*Table1[[#This Row],[Female% (18-19)]]</f>
        <v>0</v>
      </c>
      <c r="DP119" s="1">
        <f>$CU119*Table1[[#This Row],[Male%(18-19)]]</f>
        <v>0</v>
      </c>
      <c r="DQ119" s="1">
        <f>$AF119*Table1[[#This Row],[Total% (20-24)]]</f>
        <v>0</v>
      </c>
      <c r="DR119" s="1">
        <f>$CT119*Table1[[#This Row],[Female% (20-24)]]</f>
        <v>0</v>
      </c>
      <c r="DS119" s="1">
        <f>$CU119*Table1[[#This Row],[Male% (20-24)]]</f>
        <v>0</v>
      </c>
      <c r="DT119" s="1">
        <f>$AF119*Table1[[#This Row],[Total% (25-29)]]</f>
        <v>0</v>
      </c>
      <c r="DU119" s="1">
        <f>$CT119*Table1[[#This Row],[Female% (25-29)]]</f>
        <v>0</v>
      </c>
      <c r="DV119" s="1">
        <f>$CU119*Table1[[#This Row],[Male% (25-29)]]</f>
        <v>0</v>
      </c>
      <c r="DW119" s="1">
        <f>$AF119*Table1[[#This Row],[Total%   (30-34)]]</f>
        <v>0</v>
      </c>
      <c r="DX119" s="1">
        <f>$CT119*Table1[[#This Row],[Female%   (30-34)]]</f>
        <v>0</v>
      </c>
      <c r="DY119" s="1">
        <f>$CU119*Table1[[#This Row],[Male%  (30-34)]]</f>
        <v>0</v>
      </c>
      <c r="DZ119" s="1">
        <f>$AF119*Table1[[#This Row],[Total% (35-39)]]</f>
        <v>0</v>
      </c>
      <c r="EA119" s="1">
        <f>$CT119*Table1[[#This Row],[Female% (35-39)]]</f>
        <v>0</v>
      </c>
      <c r="EB119" s="1">
        <f>$CU119*Table1[[#This Row],[Male% (35-39)]]</f>
        <v>0</v>
      </c>
      <c r="EC119" s="1">
        <f>$AF119*Table1[[#This Row],[Total% (40-44)]]</f>
        <v>0</v>
      </c>
      <c r="ED119" s="1">
        <f>$CT119*Table1[[#This Row],[Female% (40-44)]]</f>
        <v>0</v>
      </c>
      <c r="EE119" s="1">
        <f>$CU119*Table1[[#This Row],[Male%(55-59)]]</f>
        <v>0</v>
      </c>
      <c r="EF119" s="1">
        <f>$AF119*Table1[[#This Row],[Total% (45-49)]]</f>
        <v>0</v>
      </c>
      <c r="EG119" s="1">
        <f>$CT119*Table1[[#This Row],[Female% (45-49)]]</f>
        <v>0</v>
      </c>
      <c r="EH119" s="1">
        <f>$CU119*Table1[[#This Row],[Male% (45-49)]]</f>
        <v>0</v>
      </c>
      <c r="EI119" s="1">
        <f>$AF119*Table1[[#This Row],[Total% (50-54)]]</f>
        <v>0</v>
      </c>
      <c r="EJ119" s="1">
        <f>$CT119*Table1[[#This Row],[Female%(50-54)]]</f>
        <v>0</v>
      </c>
      <c r="EK119" s="1">
        <f>$CU119*Table1[[#This Row],[Male% (50-54)]]</f>
        <v>0</v>
      </c>
      <c r="EL119" s="1">
        <f>$AF119*Table1[[#This Row],[Total% (55-59)]]</f>
        <v>0</v>
      </c>
      <c r="EM119" s="1">
        <f>$CT119*Table1[[#This Row],[Female% (55-59)]]</f>
        <v>0</v>
      </c>
      <c r="EN119" s="1">
        <f>$CU119*Table1[[#This Row],[Male% (55-59)]]</f>
        <v>0</v>
      </c>
      <c r="EO119" s="1">
        <f>$AF119*Table1[[#This Row],[Total% (60-64)]]</f>
        <v>0</v>
      </c>
      <c r="EP119" s="1">
        <f>$CT119*Table1[[#This Row],[Female%(60-64)]]</f>
        <v>0</v>
      </c>
      <c r="EQ119" s="1">
        <f>$CU119*Table1[[#This Row],[Male%(60-64)]]</f>
        <v>0</v>
      </c>
      <c r="ER119" s="1">
        <f>$AF119*Table1[[#This Row],[Total% (&gt;=65)]]</f>
        <v>0</v>
      </c>
      <c r="ES119" s="1">
        <f>$CT119*Table1[[#This Row],[Female%(&gt;=65)]]</f>
        <v>0</v>
      </c>
      <c r="ET119" s="1">
        <f>$CU119*Table1[[#This Row],[Male% (&gt;=65)]]</f>
        <v>0</v>
      </c>
    </row>
    <row r="120" spans="1:150" hidden="1" x14ac:dyDescent="0.35">
      <c r="A120" t="s">
        <v>168</v>
      </c>
      <c r="B120" t="s">
        <v>169</v>
      </c>
      <c r="C120" t="s">
        <v>177</v>
      </c>
      <c r="D120" t="s">
        <v>178</v>
      </c>
      <c r="E120" t="s">
        <v>518</v>
      </c>
      <c r="F120" t="s">
        <v>519</v>
      </c>
      <c r="H120">
        <v>4</v>
      </c>
      <c r="I120" s="1">
        <v>0</v>
      </c>
      <c r="J120" s="1">
        <v>0</v>
      </c>
      <c r="K120" s="1">
        <v>15234</v>
      </c>
      <c r="L120" s="1">
        <v>6246</v>
      </c>
      <c r="M120" s="1">
        <v>0</v>
      </c>
      <c r="N120" s="1">
        <v>21480</v>
      </c>
      <c r="O120" s="3">
        <v>1</v>
      </c>
      <c r="P120" s="3">
        <v>0</v>
      </c>
      <c r="Q120" s="3">
        <v>0</v>
      </c>
      <c r="R120" s="3">
        <v>0</v>
      </c>
      <c r="S120" s="3">
        <v>0</v>
      </c>
      <c r="T120" s="1">
        <v>21480</v>
      </c>
      <c r="U120" s="1">
        <v>0</v>
      </c>
      <c r="V120" s="10">
        <f>Table1[[#This Row],[Pop NW+RATAA]]*Table1[[#This Row],[Perc_pop_Northern_Aleppo]]</f>
        <v>0</v>
      </c>
      <c r="W120" s="10">
        <f>Table1[[#This Row],[Pop NW+RATAA]]*Table1[[#This Row],[Perc_pop_Afrin District]]</f>
        <v>0</v>
      </c>
      <c r="X120" s="10">
        <f>Table1[[#This Row],[Pop NW+RATAA]]*Table1[[#This Row],[Perc_pop_Euphrates Shiled]]</f>
        <v>0</v>
      </c>
      <c r="Y120" s="10">
        <f>Table1[[#This Row],[Pop NW+RATAA]]*Table1[[#This Row],[Perc_Pop_Idleb_NSAG]]</f>
        <v>0</v>
      </c>
      <c r="Z120" s="3">
        <v>0</v>
      </c>
      <c r="AA120" s="3">
        <v>0</v>
      </c>
      <c r="AB120" s="3">
        <v>0</v>
      </c>
      <c r="AC120" s="3">
        <v>0</v>
      </c>
      <c r="AD120" s="1">
        <v>21480</v>
      </c>
      <c r="AE120" s="1">
        <v>0</v>
      </c>
      <c r="AF120" s="1">
        <v>0</v>
      </c>
      <c r="AG120" s="1">
        <v>0</v>
      </c>
      <c r="AH120" s="1">
        <v>0</v>
      </c>
      <c r="AI120" s="1">
        <f>Table1[[#This Row],[NWS_pin]]*Table1[[#This Row],[Perc_pop_Northern_Aleppo]]</f>
        <v>0</v>
      </c>
      <c r="AJ120" s="1">
        <f>Table1[[#This Row],[NWS_pin]]*Table1[[#This Row],[Perc_pop_Afrin District]]</f>
        <v>0</v>
      </c>
      <c r="AK120" s="1">
        <f>Table1[[#This Row],[NWS_pin]]*Table1[[#This Row],[Perc_pop_Euphrates Shiled]]</f>
        <v>0</v>
      </c>
      <c r="AL120" s="1">
        <f>Table1[[#This Row],[NWS_pin]]*Table1[[#This Row],[Perc_Pop_Idleb_NSAG]]</f>
        <v>0</v>
      </c>
      <c r="AM120" s="4">
        <v>0.52247194241460804</v>
      </c>
      <c r="AN120" s="4">
        <v>0.47752805758539202</v>
      </c>
      <c r="AO120" s="4">
        <v>0.130503783553854</v>
      </c>
      <c r="AP120" s="4">
        <v>0.46055023831273401</v>
      </c>
      <c r="AQ120" s="4">
        <v>0.44194389696317499</v>
      </c>
      <c r="AR120" s="4">
        <v>2.1041842284458601E-2</v>
      </c>
      <c r="AS120" s="4">
        <v>2.5312396854557401E-3</v>
      </c>
      <c r="AT120" s="4">
        <v>7.3932782754176599E-2</v>
      </c>
      <c r="AU120" s="4">
        <v>5.3665188433928902E-2</v>
      </c>
      <c r="AV120" s="4">
        <v>4.59808582757485E-2</v>
      </c>
      <c r="AW120" s="4">
        <v>6.2072750754351799E-2</v>
      </c>
      <c r="AX120" s="4">
        <v>9.9040049578132006E-2</v>
      </c>
      <c r="AY120" s="4">
        <v>9.1700982865688799E-2</v>
      </c>
      <c r="AZ120" s="4">
        <v>0.10706985302078099</v>
      </c>
      <c r="BA120" s="4">
        <v>9.91713352916202E-2</v>
      </c>
      <c r="BB120" s="4">
        <v>9.8046838912327197E-2</v>
      </c>
      <c r="BC120" s="4">
        <v>0.10040166678355</v>
      </c>
      <c r="BD120" s="4">
        <v>8.6141712245933602E-2</v>
      </c>
      <c r="BE120" s="4">
        <v>0.105087702608474</v>
      </c>
      <c r="BF120" s="4">
        <v>6.5412567165458693E-2</v>
      </c>
      <c r="BG120" s="4">
        <v>7.2660208314175995E-2</v>
      </c>
      <c r="BH120" s="4">
        <v>7.4209177033508697E-2</v>
      </c>
      <c r="BI120" s="4">
        <v>7.0965454084191304E-2</v>
      </c>
      <c r="BJ120" s="4">
        <v>7.9682450135233396E-2</v>
      </c>
      <c r="BK120" s="4">
        <v>6.4548102713610903E-2</v>
      </c>
      <c r="BL120" s="4">
        <v>9.6241208869820599E-2</v>
      </c>
      <c r="BM120" s="4">
        <v>4.4515178391806902E-2</v>
      </c>
      <c r="BN120" s="4">
        <v>3.3056619779751897E-2</v>
      </c>
      <c r="BO120" s="4">
        <v>5.7052191202287598E-2</v>
      </c>
      <c r="BP120" s="4">
        <v>4.2248897567610001E-2</v>
      </c>
      <c r="BQ120" s="4">
        <v>3.42880609527762E-2</v>
      </c>
      <c r="BR120" s="4">
        <v>5.0958990520951902E-2</v>
      </c>
      <c r="BS120" s="4">
        <v>3.7923745982973898E-2</v>
      </c>
      <c r="BT120" s="4">
        <v>4.9276430479812602E-2</v>
      </c>
      <c r="BU120" s="4">
        <v>2.5502571925315801E-2</v>
      </c>
      <c r="BV120" s="4">
        <v>6.4074855355180704E-2</v>
      </c>
      <c r="BW120" s="4">
        <v>7.7696242508778102E-2</v>
      </c>
      <c r="BX120" s="4">
        <v>4.9171453363458399E-2</v>
      </c>
      <c r="BY120" s="4">
        <v>7.3138167756988198E-2</v>
      </c>
      <c r="BZ120" s="4">
        <v>7.13166527238141E-2</v>
      </c>
      <c r="CA120" s="4">
        <v>7.51311197571954E-2</v>
      </c>
      <c r="CB120" s="4">
        <v>7.3038309833799803E-2</v>
      </c>
      <c r="CC120" s="4">
        <v>8.2633651090666699E-2</v>
      </c>
      <c r="CD120" s="4">
        <v>6.2539876275872597E-2</v>
      </c>
      <c r="CE120" s="4">
        <v>5.3122862940510697E-2</v>
      </c>
      <c r="CF120" s="4">
        <v>5.5223934521791702E-2</v>
      </c>
      <c r="CG120" s="4">
        <v>5.0824043148068099E-2</v>
      </c>
      <c r="CH120" s="4">
        <v>4.0864914820215099E-2</v>
      </c>
      <c r="CI120" s="4">
        <v>3.5885541936978502E-2</v>
      </c>
      <c r="CJ120" s="4">
        <v>4.6312935268408503E-2</v>
      </c>
      <c r="CK120" s="4">
        <v>3.90715613205216E-2</v>
      </c>
      <c r="CL120" s="4">
        <v>4.1115836674016998E-2</v>
      </c>
      <c r="CM120" s="4">
        <v>3.6834883291231198E-2</v>
      </c>
      <c r="CN120" s="4">
        <v>1.9217150767713902E-2</v>
      </c>
      <c r="CO120" s="4">
        <v>1.6548858400461101E-2</v>
      </c>
      <c r="CP120" s="4">
        <v>2.2136576912217099E-2</v>
      </c>
      <c r="CQ120" s="4">
        <v>2.2423411263655001E-2</v>
      </c>
      <c r="CR120" s="4">
        <v>2.3384508521793999E-2</v>
      </c>
      <c r="CS120" s="4">
        <v>2.137185765684E-2</v>
      </c>
      <c r="CT120" s="1">
        <f>Table1[[#This Row],[Female %]]*Table1[[#This Row],[NWS_pin]]</f>
        <v>0</v>
      </c>
      <c r="CU120" s="1">
        <f>Table1[[#This Row],[Male %]]*Table1[[#This Row],[NWS_pin]]</f>
        <v>0</v>
      </c>
      <c r="CV120" s="1">
        <f>Table1[[#This Row],[Female% (0-2)22]]+Table1[[#This Row],[Male%(0-2)3]]</f>
        <v>0</v>
      </c>
      <c r="CW120" s="1">
        <f>$CT120*Table1[[#This Row],[Female% (0-2)]]</f>
        <v>0</v>
      </c>
      <c r="CX120" s="1">
        <f>$CU120*Table1[[#This Row],[Male%(0-2)]]</f>
        <v>0</v>
      </c>
      <c r="CY120" s="1">
        <f>Table1[[#This Row],[Female%  (3-5)5]]+Table1[[#This Row],[Male% (3-5)6]]</f>
        <v>0</v>
      </c>
      <c r="CZ120" s="1">
        <f>$AF120*Table1[[#This Row],[Female%  (3-5)]]</f>
        <v>0</v>
      </c>
      <c r="DA120" s="1">
        <f>$CU120*Table1[[#This Row],[Male% (3-5)]]</f>
        <v>0</v>
      </c>
      <c r="DB120" s="1">
        <f>Table1[[#This Row],[Female% (6-8)8]]+Table1[[#This Row],[Male%(6-8)9]]</f>
        <v>0</v>
      </c>
      <c r="DC120" s="1">
        <f>$CT120*Table1[[#This Row],[Female% (6-8)]]</f>
        <v>0</v>
      </c>
      <c r="DD120" s="1">
        <f>$CU120*Table1[[#This Row],[Male%(6-8)]]</f>
        <v>0</v>
      </c>
      <c r="DE120" s="1">
        <f>Table1[[#This Row],[Female% (9 - 11)11]]+Table1[[#This Row],[Male% (9 - 11)12]]</f>
        <v>0</v>
      </c>
      <c r="DF120" s="1">
        <f>$CT120*Table1[[#This Row],[Female% (9 - 11)]]</f>
        <v>0</v>
      </c>
      <c r="DG120" s="1">
        <f>$CU120*Table1[[#This Row],[Male% (9 - 11)]]</f>
        <v>0</v>
      </c>
      <c r="DH120" s="1">
        <f>Table1[[#This Row],[Female% (12-14)14]]+Table1[[#This Row],[Male%(12-14)15]]</f>
        <v>0</v>
      </c>
      <c r="DI120" s="1">
        <f>$CT120*Table1[[#This Row],[Female% (12-14)]]</f>
        <v>0</v>
      </c>
      <c r="DJ120" s="1">
        <f>$CU120*Table1[[#This Row],[Male%(12-14)]]</f>
        <v>0</v>
      </c>
      <c r="DK120" s="1">
        <f>Table1[[#This Row],[Female% (15-17)17]]+Table1[[#This Row],[Male%(15-17)18]]</f>
        <v>0</v>
      </c>
      <c r="DL120" s="1">
        <f>$CT120*Table1[[#This Row],[Female% (15-17)]]</f>
        <v>0</v>
      </c>
      <c r="DM120" s="1">
        <f>$CU120*Table1[[#This Row],[Male%(15-17)]]</f>
        <v>0</v>
      </c>
      <c r="DN120" s="1">
        <f>$AF120*Table1[[#This Row],[Total% (18-19)]]</f>
        <v>0</v>
      </c>
      <c r="DO120" s="1">
        <f>$CT120*Table1[[#This Row],[Female% (18-19)]]</f>
        <v>0</v>
      </c>
      <c r="DP120" s="1">
        <f>$CU120*Table1[[#This Row],[Male%(18-19)]]</f>
        <v>0</v>
      </c>
      <c r="DQ120" s="1">
        <f>$AF120*Table1[[#This Row],[Total% (20-24)]]</f>
        <v>0</v>
      </c>
      <c r="DR120" s="1">
        <f>$CT120*Table1[[#This Row],[Female% (20-24)]]</f>
        <v>0</v>
      </c>
      <c r="DS120" s="1">
        <f>$CU120*Table1[[#This Row],[Male% (20-24)]]</f>
        <v>0</v>
      </c>
      <c r="DT120" s="1">
        <f>$AF120*Table1[[#This Row],[Total% (25-29)]]</f>
        <v>0</v>
      </c>
      <c r="DU120" s="1">
        <f>$CT120*Table1[[#This Row],[Female% (25-29)]]</f>
        <v>0</v>
      </c>
      <c r="DV120" s="1">
        <f>$CU120*Table1[[#This Row],[Male% (25-29)]]</f>
        <v>0</v>
      </c>
      <c r="DW120" s="1">
        <f>$AF120*Table1[[#This Row],[Total%   (30-34)]]</f>
        <v>0</v>
      </c>
      <c r="DX120" s="1">
        <f>$CT120*Table1[[#This Row],[Female%   (30-34)]]</f>
        <v>0</v>
      </c>
      <c r="DY120" s="1">
        <f>$CU120*Table1[[#This Row],[Male%  (30-34)]]</f>
        <v>0</v>
      </c>
      <c r="DZ120" s="1">
        <f>$AF120*Table1[[#This Row],[Total% (35-39)]]</f>
        <v>0</v>
      </c>
      <c r="EA120" s="1">
        <f>$CT120*Table1[[#This Row],[Female% (35-39)]]</f>
        <v>0</v>
      </c>
      <c r="EB120" s="1">
        <f>$CU120*Table1[[#This Row],[Male% (35-39)]]</f>
        <v>0</v>
      </c>
      <c r="EC120" s="1">
        <f>$AF120*Table1[[#This Row],[Total% (40-44)]]</f>
        <v>0</v>
      </c>
      <c r="ED120" s="1">
        <f>$CT120*Table1[[#This Row],[Female% (40-44)]]</f>
        <v>0</v>
      </c>
      <c r="EE120" s="1">
        <f>$CU120*Table1[[#This Row],[Male%(55-59)]]</f>
        <v>0</v>
      </c>
      <c r="EF120" s="1">
        <f>$AF120*Table1[[#This Row],[Total% (45-49)]]</f>
        <v>0</v>
      </c>
      <c r="EG120" s="1">
        <f>$CT120*Table1[[#This Row],[Female% (45-49)]]</f>
        <v>0</v>
      </c>
      <c r="EH120" s="1">
        <f>$CU120*Table1[[#This Row],[Male% (45-49)]]</f>
        <v>0</v>
      </c>
      <c r="EI120" s="1">
        <f>$AF120*Table1[[#This Row],[Total% (50-54)]]</f>
        <v>0</v>
      </c>
      <c r="EJ120" s="1">
        <f>$CT120*Table1[[#This Row],[Female%(50-54)]]</f>
        <v>0</v>
      </c>
      <c r="EK120" s="1">
        <f>$CU120*Table1[[#This Row],[Male% (50-54)]]</f>
        <v>0</v>
      </c>
      <c r="EL120" s="1">
        <f>$AF120*Table1[[#This Row],[Total% (55-59)]]</f>
        <v>0</v>
      </c>
      <c r="EM120" s="1">
        <f>$CT120*Table1[[#This Row],[Female% (55-59)]]</f>
        <v>0</v>
      </c>
      <c r="EN120" s="1">
        <f>$CU120*Table1[[#This Row],[Male% (55-59)]]</f>
        <v>0</v>
      </c>
      <c r="EO120" s="1">
        <f>$AF120*Table1[[#This Row],[Total% (60-64)]]</f>
        <v>0</v>
      </c>
      <c r="EP120" s="1">
        <f>$CT120*Table1[[#This Row],[Female%(60-64)]]</f>
        <v>0</v>
      </c>
      <c r="EQ120" s="1">
        <f>$CU120*Table1[[#This Row],[Male%(60-64)]]</f>
        <v>0</v>
      </c>
      <c r="ER120" s="1">
        <f>$AF120*Table1[[#This Row],[Total% (&gt;=65)]]</f>
        <v>0</v>
      </c>
      <c r="ES120" s="1">
        <f>$CT120*Table1[[#This Row],[Female%(&gt;=65)]]</f>
        <v>0</v>
      </c>
      <c r="ET120" s="1">
        <f>$CU120*Table1[[#This Row],[Male% (&gt;=65)]]</f>
        <v>0</v>
      </c>
    </row>
    <row r="121" spans="1:150" hidden="1" x14ac:dyDescent="0.35">
      <c r="A121" t="s">
        <v>168</v>
      </c>
      <c r="B121" t="s">
        <v>169</v>
      </c>
      <c r="C121" t="s">
        <v>177</v>
      </c>
      <c r="D121" t="s">
        <v>178</v>
      </c>
      <c r="E121" t="s">
        <v>271</v>
      </c>
      <c r="F121" t="s">
        <v>272</v>
      </c>
      <c r="H121">
        <v>3</v>
      </c>
      <c r="I121" s="1">
        <v>0</v>
      </c>
      <c r="J121" s="1">
        <v>8560</v>
      </c>
      <c r="K121" s="1">
        <v>16429</v>
      </c>
      <c r="L121" s="1">
        <v>1944</v>
      </c>
      <c r="M121" s="1">
        <v>0</v>
      </c>
      <c r="N121" s="1">
        <v>18373</v>
      </c>
      <c r="O121" s="3">
        <v>1</v>
      </c>
      <c r="P121" s="3">
        <v>0</v>
      </c>
      <c r="Q121" s="3">
        <v>0</v>
      </c>
      <c r="R121" s="3">
        <v>0</v>
      </c>
      <c r="S121" s="3">
        <v>0</v>
      </c>
      <c r="T121" s="1">
        <v>26933</v>
      </c>
      <c r="U121" s="1">
        <v>0</v>
      </c>
      <c r="V121" s="10">
        <f>Table1[[#This Row],[Pop NW+RATAA]]*Table1[[#This Row],[Perc_pop_Northern_Aleppo]]</f>
        <v>0</v>
      </c>
      <c r="W121" s="10">
        <f>Table1[[#This Row],[Pop NW+RATAA]]*Table1[[#This Row],[Perc_pop_Afrin District]]</f>
        <v>0</v>
      </c>
      <c r="X121" s="10">
        <f>Table1[[#This Row],[Pop NW+RATAA]]*Table1[[#This Row],[Perc_pop_Euphrates Shiled]]</f>
        <v>0</v>
      </c>
      <c r="Y121" s="10">
        <f>Table1[[#This Row],[Pop NW+RATAA]]*Table1[[#This Row],[Perc_Pop_Idleb_NSAG]]</f>
        <v>0</v>
      </c>
      <c r="Z121" s="3">
        <v>0</v>
      </c>
      <c r="AA121" s="3">
        <v>0</v>
      </c>
      <c r="AB121" s="3">
        <v>0</v>
      </c>
      <c r="AC121" s="3">
        <v>0</v>
      </c>
      <c r="AD121" s="1">
        <v>18373</v>
      </c>
      <c r="AE121" s="1">
        <v>0</v>
      </c>
      <c r="AF121" s="1">
        <v>0</v>
      </c>
      <c r="AG121" s="1">
        <v>0</v>
      </c>
      <c r="AH121" s="1">
        <v>0</v>
      </c>
      <c r="AI121" s="1">
        <f>Table1[[#This Row],[NWS_pin]]*Table1[[#This Row],[Perc_pop_Northern_Aleppo]]</f>
        <v>0</v>
      </c>
      <c r="AJ121" s="1">
        <f>Table1[[#This Row],[NWS_pin]]*Table1[[#This Row],[Perc_pop_Afrin District]]</f>
        <v>0</v>
      </c>
      <c r="AK121" s="1">
        <f>Table1[[#This Row],[NWS_pin]]*Table1[[#This Row],[Perc_pop_Euphrates Shiled]]</f>
        <v>0</v>
      </c>
      <c r="AL121" s="1">
        <f>Table1[[#This Row],[NWS_pin]]*Table1[[#This Row],[Perc_Pop_Idleb_NSAG]]</f>
        <v>0</v>
      </c>
      <c r="AM121" s="4">
        <v>0.50854499666509201</v>
      </c>
      <c r="AN121" s="4">
        <v>0.49145500333490799</v>
      </c>
      <c r="AO121" s="4">
        <v>7.2624603322755305E-2</v>
      </c>
      <c r="AP121" s="4">
        <v>0.47882242431351602</v>
      </c>
      <c r="AQ121" s="4">
        <v>0.48725406812265898</v>
      </c>
      <c r="AR121" s="4">
        <v>1.18618803025101E-2</v>
      </c>
      <c r="AS121" s="4">
        <v>0</v>
      </c>
      <c r="AT121" s="4">
        <v>2.2061627261314502E-2</v>
      </c>
      <c r="AU121" s="4">
        <v>3.8326849644327698E-2</v>
      </c>
      <c r="AV121" s="4">
        <v>4.69956518432448E-2</v>
      </c>
      <c r="AW121" s="4">
        <v>2.9356596100415001E-2</v>
      </c>
      <c r="AX121" s="4">
        <v>7.0603479983894102E-2</v>
      </c>
      <c r="AY121" s="4">
        <v>7.1057332912267804E-2</v>
      </c>
      <c r="AZ121" s="4">
        <v>7.0133844647230395E-2</v>
      </c>
      <c r="BA121" s="4">
        <v>8.56159436252035E-2</v>
      </c>
      <c r="BB121" s="4">
        <v>9.1823521145701303E-2</v>
      </c>
      <c r="BC121" s="4">
        <v>7.9192502072999799E-2</v>
      </c>
      <c r="BD121" s="4">
        <v>7.46727333641381E-2</v>
      </c>
      <c r="BE121" s="4">
        <v>6.1002629645131402E-2</v>
      </c>
      <c r="BF121" s="4">
        <v>8.8818205081833301E-2</v>
      </c>
      <c r="BG121" s="4">
        <v>9.3102068667338098E-2</v>
      </c>
      <c r="BH121" s="4">
        <v>0.101357432789423</v>
      </c>
      <c r="BI121" s="4">
        <v>8.4559630211229697E-2</v>
      </c>
      <c r="BJ121" s="4">
        <v>8.5694321640836096E-2</v>
      </c>
      <c r="BK121" s="4">
        <v>8.2447760923402794E-2</v>
      </c>
      <c r="BL121" s="4">
        <v>8.9053779165973901E-2</v>
      </c>
      <c r="BM121" s="4">
        <v>3.7710071011506703E-2</v>
      </c>
      <c r="BN121" s="4">
        <v>4.4554881817069202E-2</v>
      </c>
      <c r="BO121" s="4">
        <v>3.0627236846288399E-2</v>
      </c>
      <c r="BP121" s="4">
        <v>6.2202432484767499E-2</v>
      </c>
      <c r="BQ121" s="4">
        <v>5.1321143585876999E-2</v>
      </c>
      <c r="BR121" s="4">
        <v>7.3462110358119503E-2</v>
      </c>
      <c r="BS121" s="4">
        <v>6.1424543486479501E-2</v>
      </c>
      <c r="BT121" s="4">
        <v>6.8087208924575399E-2</v>
      </c>
      <c r="BU121" s="4">
        <v>5.4530188662528199E-2</v>
      </c>
      <c r="BV121" s="4">
        <v>3.1948006175982702E-2</v>
      </c>
      <c r="BW121" s="4">
        <v>4.46964122292349E-2</v>
      </c>
      <c r="BX121" s="4">
        <v>1.8756283495690099E-2</v>
      </c>
      <c r="BY121" s="4">
        <v>0.105419455575033</v>
      </c>
      <c r="BZ121" s="4">
        <v>0.14342621455506799</v>
      </c>
      <c r="CA121" s="4">
        <v>6.6091038959888299E-2</v>
      </c>
      <c r="CB121" s="4">
        <v>7.6666762291260904E-2</v>
      </c>
      <c r="CC121" s="4">
        <v>6.0739715498688202E-2</v>
      </c>
      <c r="CD121" s="4">
        <v>9.3147660650319999E-2</v>
      </c>
      <c r="CE121" s="4">
        <v>7.1452319015940999E-2</v>
      </c>
      <c r="CF121" s="4">
        <v>6.4561540294111305E-2</v>
      </c>
      <c r="CG121" s="4">
        <v>7.8582719598565096E-2</v>
      </c>
      <c r="CH121" s="4">
        <v>6.2282091186929997E-2</v>
      </c>
      <c r="CI121" s="4">
        <v>4.4489908780879203E-2</v>
      </c>
      <c r="CJ121" s="4">
        <v>8.0692983905390897E-2</v>
      </c>
      <c r="CK121" s="4">
        <v>3.0959316174866001E-2</v>
      </c>
      <c r="CL121" s="4">
        <v>0</v>
      </c>
      <c r="CM121" s="4">
        <v>6.29952202435273E-2</v>
      </c>
      <c r="CN121" s="4">
        <v>0</v>
      </c>
      <c r="CO121" s="4">
        <v>0</v>
      </c>
      <c r="CP121" s="4">
        <v>0</v>
      </c>
      <c r="CQ121" s="4">
        <v>1.19196056714947E-2</v>
      </c>
      <c r="CR121" s="4">
        <v>2.3438645055325301E-2</v>
      </c>
      <c r="CS121" s="4">
        <v>0</v>
      </c>
      <c r="CT121" s="1">
        <f>Table1[[#This Row],[Female %]]*Table1[[#This Row],[NWS_pin]]</f>
        <v>0</v>
      </c>
      <c r="CU121" s="1">
        <f>Table1[[#This Row],[Male %]]*Table1[[#This Row],[NWS_pin]]</f>
        <v>0</v>
      </c>
      <c r="CV121" s="1">
        <f>Table1[[#This Row],[Female% (0-2)22]]+Table1[[#This Row],[Male%(0-2)3]]</f>
        <v>0</v>
      </c>
      <c r="CW121" s="1">
        <f>$CT121*Table1[[#This Row],[Female% (0-2)]]</f>
        <v>0</v>
      </c>
      <c r="CX121" s="1">
        <f>$CU121*Table1[[#This Row],[Male%(0-2)]]</f>
        <v>0</v>
      </c>
      <c r="CY121" s="1">
        <f>Table1[[#This Row],[Female%  (3-5)5]]+Table1[[#This Row],[Male% (3-5)6]]</f>
        <v>0</v>
      </c>
      <c r="CZ121" s="1">
        <f>$AF121*Table1[[#This Row],[Female%  (3-5)]]</f>
        <v>0</v>
      </c>
      <c r="DA121" s="1">
        <f>$CU121*Table1[[#This Row],[Male% (3-5)]]</f>
        <v>0</v>
      </c>
      <c r="DB121" s="1">
        <f>Table1[[#This Row],[Female% (6-8)8]]+Table1[[#This Row],[Male%(6-8)9]]</f>
        <v>0</v>
      </c>
      <c r="DC121" s="1">
        <f>$CT121*Table1[[#This Row],[Female% (6-8)]]</f>
        <v>0</v>
      </c>
      <c r="DD121" s="1">
        <f>$CU121*Table1[[#This Row],[Male%(6-8)]]</f>
        <v>0</v>
      </c>
      <c r="DE121" s="1">
        <f>Table1[[#This Row],[Female% (9 - 11)11]]+Table1[[#This Row],[Male% (9 - 11)12]]</f>
        <v>0</v>
      </c>
      <c r="DF121" s="1">
        <f>$CT121*Table1[[#This Row],[Female% (9 - 11)]]</f>
        <v>0</v>
      </c>
      <c r="DG121" s="1">
        <f>$CU121*Table1[[#This Row],[Male% (9 - 11)]]</f>
        <v>0</v>
      </c>
      <c r="DH121" s="1">
        <f>Table1[[#This Row],[Female% (12-14)14]]+Table1[[#This Row],[Male%(12-14)15]]</f>
        <v>0</v>
      </c>
      <c r="DI121" s="1">
        <f>$CT121*Table1[[#This Row],[Female% (12-14)]]</f>
        <v>0</v>
      </c>
      <c r="DJ121" s="1">
        <f>$CU121*Table1[[#This Row],[Male%(12-14)]]</f>
        <v>0</v>
      </c>
      <c r="DK121" s="1">
        <f>Table1[[#This Row],[Female% (15-17)17]]+Table1[[#This Row],[Male%(15-17)18]]</f>
        <v>0</v>
      </c>
      <c r="DL121" s="1">
        <f>$CT121*Table1[[#This Row],[Female% (15-17)]]</f>
        <v>0</v>
      </c>
      <c r="DM121" s="1">
        <f>$CU121*Table1[[#This Row],[Male%(15-17)]]</f>
        <v>0</v>
      </c>
      <c r="DN121" s="1">
        <f>$AF121*Table1[[#This Row],[Total% (18-19)]]</f>
        <v>0</v>
      </c>
      <c r="DO121" s="1">
        <f>$CT121*Table1[[#This Row],[Female% (18-19)]]</f>
        <v>0</v>
      </c>
      <c r="DP121" s="1">
        <f>$CU121*Table1[[#This Row],[Male%(18-19)]]</f>
        <v>0</v>
      </c>
      <c r="DQ121" s="1">
        <f>$AF121*Table1[[#This Row],[Total% (20-24)]]</f>
        <v>0</v>
      </c>
      <c r="DR121" s="1">
        <f>$CT121*Table1[[#This Row],[Female% (20-24)]]</f>
        <v>0</v>
      </c>
      <c r="DS121" s="1">
        <f>$CU121*Table1[[#This Row],[Male% (20-24)]]</f>
        <v>0</v>
      </c>
      <c r="DT121" s="1">
        <f>$AF121*Table1[[#This Row],[Total% (25-29)]]</f>
        <v>0</v>
      </c>
      <c r="DU121" s="1">
        <f>$CT121*Table1[[#This Row],[Female% (25-29)]]</f>
        <v>0</v>
      </c>
      <c r="DV121" s="1">
        <f>$CU121*Table1[[#This Row],[Male% (25-29)]]</f>
        <v>0</v>
      </c>
      <c r="DW121" s="1">
        <f>$AF121*Table1[[#This Row],[Total%   (30-34)]]</f>
        <v>0</v>
      </c>
      <c r="DX121" s="1">
        <f>$CT121*Table1[[#This Row],[Female%   (30-34)]]</f>
        <v>0</v>
      </c>
      <c r="DY121" s="1">
        <f>$CU121*Table1[[#This Row],[Male%  (30-34)]]</f>
        <v>0</v>
      </c>
      <c r="DZ121" s="1">
        <f>$AF121*Table1[[#This Row],[Total% (35-39)]]</f>
        <v>0</v>
      </c>
      <c r="EA121" s="1">
        <f>$CT121*Table1[[#This Row],[Female% (35-39)]]</f>
        <v>0</v>
      </c>
      <c r="EB121" s="1">
        <f>$CU121*Table1[[#This Row],[Male% (35-39)]]</f>
        <v>0</v>
      </c>
      <c r="EC121" s="1">
        <f>$AF121*Table1[[#This Row],[Total% (40-44)]]</f>
        <v>0</v>
      </c>
      <c r="ED121" s="1">
        <f>$CT121*Table1[[#This Row],[Female% (40-44)]]</f>
        <v>0</v>
      </c>
      <c r="EE121" s="1">
        <f>$CU121*Table1[[#This Row],[Male%(55-59)]]</f>
        <v>0</v>
      </c>
      <c r="EF121" s="1">
        <f>$AF121*Table1[[#This Row],[Total% (45-49)]]</f>
        <v>0</v>
      </c>
      <c r="EG121" s="1">
        <f>$CT121*Table1[[#This Row],[Female% (45-49)]]</f>
        <v>0</v>
      </c>
      <c r="EH121" s="1">
        <f>$CU121*Table1[[#This Row],[Male% (45-49)]]</f>
        <v>0</v>
      </c>
      <c r="EI121" s="1">
        <f>$AF121*Table1[[#This Row],[Total% (50-54)]]</f>
        <v>0</v>
      </c>
      <c r="EJ121" s="1">
        <f>$CT121*Table1[[#This Row],[Female%(50-54)]]</f>
        <v>0</v>
      </c>
      <c r="EK121" s="1">
        <f>$CU121*Table1[[#This Row],[Male% (50-54)]]</f>
        <v>0</v>
      </c>
      <c r="EL121" s="1">
        <f>$AF121*Table1[[#This Row],[Total% (55-59)]]</f>
        <v>0</v>
      </c>
      <c r="EM121" s="1">
        <f>$CT121*Table1[[#This Row],[Female% (55-59)]]</f>
        <v>0</v>
      </c>
      <c r="EN121" s="1">
        <f>$CU121*Table1[[#This Row],[Male% (55-59)]]</f>
        <v>0</v>
      </c>
      <c r="EO121" s="1">
        <f>$AF121*Table1[[#This Row],[Total% (60-64)]]</f>
        <v>0</v>
      </c>
      <c r="EP121" s="1">
        <f>$CT121*Table1[[#This Row],[Female%(60-64)]]</f>
        <v>0</v>
      </c>
      <c r="EQ121" s="1">
        <f>$CU121*Table1[[#This Row],[Male%(60-64)]]</f>
        <v>0</v>
      </c>
      <c r="ER121" s="1">
        <f>$AF121*Table1[[#This Row],[Total% (&gt;=65)]]</f>
        <v>0</v>
      </c>
      <c r="ES121" s="1">
        <f>$CT121*Table1[[#This Row],[Female%(&gt;=65)]]</f>
        <v>0</v>
      </c>
      <c r="ET121" s="1">
        <f>$CU121*Table1[[#This Row],[Male% (&gt;=65)]]</f>
        <v>0</v>
      </c>
    </row>
    <row r="122" spans="1:150" hidden="1" x14ac:dyDescent="0.35">
      <c r="A122" t="s">
        <v>168</v>
      </c>
      <c r="B122" t="s">
        <v>169</v>
      </c>
      <c r="C122" t="s">
        <v>237</v>
      </c>
      <c r="D122" t="s">
        <v>238</v>
      </c>
      <c r="E122" t="s">
        <v>237</v>
      </c>
      <c r="F122" t="s">
        <v>489</v>
      </c>
      <c r="H122">
        <v>3</v>
      </c>
      <c r="I122" s="1">
        <v>0</v>
      </c>
      <c r="J122" s="1">
        <v>6048</v>
      </c>
      <c r="K122" s="1">
        <v>32449</v>
      </c>
      <c r="L122" s="1">
        <v>1566</v>
      </c>
      <c r="M122" s="1">
        <v>0</v>
      </c>
      <c r="N122" s="1">
        <v>34015</v>
      </c>
      <c r="O122" s="3">
        <v>1</v>
      </c>
      <c r="P122" s="3">
        <v>0</v>
      </c>
      <c r="Q122" s="3">
        <v>0</v>
      </c>
      <c r="R122" s="3">
        <v>0</v>
      </c>
      <c r="S122" s="3">
        <v>0</v>
      </c>
      <c r="T122" s="1">
        <v>40063</v>
      </c>
      <c r="U122" s="1">
        <v>0</v>
      </c>
      <c r="V122" s="10">
        <f>Table1[[#This Row],[Pop NW+RATAA]]*Table1[[#This Row],[Perc_pop_Northern_Aleppo]]</f>
        <v>0</v>
      </c>
      <c r="W122" s="10">
        <f>Table1[[#This Row],[Pop NW+RATAA]]*Table1[[#This Row],[Perc_pop_Afrin District]]</f>
        <v>0</v>
      </c>
      <c r="X122" s="10">
        <f>Table1[[#This Row],[Pop NW+RATAA]]*Table1[[#This Row],[Perc_pop_Euphrates Shiled]]</f>
        <v>0</v>
      </c>
      <c r="Y122" s="10">
        <f>Table1[[#This Row],[Pop NW+RATAA]]*Table1[[#This Row],[Perc_Pop_Idleb_NSAG]]</f>
        <v>0</v>
      </c>
      <c r="Z122" s="3">
        <v>0</v>
      </c>
      <c r="AA122" s="3">
        <v>0</v>
      </c>
      <c r="AB122" s="3">
        <v>0</v>
      </c>
      <c r="AC122" s="3">
        <v>0</v>
      </c>
      <c r="AD122" s="1">
        <v>34015</v>
      </c>
      <c r="AE122" s="1">
        <v>0</v>
      </c>
      <c r="AF122" s="1">
        <v>0</v>
      </c>
      <c r="AG122" s="1">
        <v>0</v>
      </c>
      <c r="AH122" s="1">
        <v>0</v>
      </c>
      <c r="AI122" s="1">
        <f>Table1[[#This Row],[NWS_pin]]*Table1[[#This Row],[Perc_pop_Northern_Aleppo]]</f>
        <v>0</v>
      </c>
      <c r="AJ122" s="1">
        <f>Table1[[#This Row],[NWS_pin]]*Table1[[#This Row],[Perc_pop_Afrin District]]</f>
        <v>0</v>
      </c>
      <c r="AK122" s="1">
        <f>Table1[[#This Row],[NWS_pin]]*Table1[[#This Row],[Perc_pop_Euphrates Shiled]]</f>
        <v>0</v>
      </c>
      <c r="AL122" s="1">
        <f>Table1[[#This Row],[NWS_pin]]*Table1[[#This Row],[Perc_Pop_Idleb_NSAG]]</f>
        <v>0</v>
      </c>
      <c r="AM122" s="4">
        <v>0.46128825219135999</v>
      </c>
      <c r="AN122" s="4">
        <v>0.53871174780863995</v>
      </c>
      <c r="AO122" s="4">
        <v>0.171564748916544</v>
      </c>
      <c r="AP122" s="4">
        <v>0.41990849405727199</v>
      </c>
      <c r="AQ122" s="4">
        <v>0.532032275720979</v>
      </c>
      <c r="AR122" s="4">
        <v>7.9155134427693896E-3</v>
      </c>
      <c r="AS122" s="4">
        <v>0</v>
      </c>
      <c r="AT122" s="4">
        <v>4.0143716778980203E-2</v>
      </c>
      <c r="AU122" s="4">
        <v>3.2339038562647401E-2</v>
      </c>
      <c r="AV122" s="4">
        <v>3.8321974870196097E-2</v>
      </c>
      <c r="AW122" s="4">
        <v>2.7215968120044599E-2</v>
      </c>
      <c r="AX122" s="4">
        <v>6.6945358006102101E-2</v>
      </c>
      <c r="AY122" s="4">
        <v>4.8081906558143803E-2</v>
      </c>
      <c r="AZ122" s="4">
        <v>8.3097759701667606E-2</v>
      </c>
      <c r="BA122" s="4">
        <v>0.109505289069111</v>
      </c>
      <c r="BB122" s="4">
        <v>9.2810512993974303E-2</v>
      </c>
      <c r="BC122" s="4">
        <v>0.12380069678530101</v>
      </c>
      <c r="BD122" s="4">
        <v>0.116129526867901</v>
      </c>
      <c r="BE122" s="4">
        <v>0.109420663207492</v>
      </c>
      <c r="BF122" s="4">
        <v>0.121874194595473</v>
      </c>
      <c r="BG122" s="4">
        <v>9.4183973872354096E-2</v>
      </c>
      <c r="BH122" s="4">
        <v>0.10891494351608499</v>
      </c>
      <c r="BI122" s="4">
        <v>8.1570134898762303E-2</v>
      </c>
      <c r="BJ122" s="4">
        <v>7.1610147657910503E-2</v>
      </c>
      <c r="BK122" s="4">
        <v>4.8124686471616301E-2</v>
      </c>
      <c r="BL122" s="4">
        <v>9.1720285197331594E-2</v>
      </c>
      <c r="BM122" s="4">
        <v>1.42083874905422E-2</v>
      </c>
      <c r="BN122" s="4">
        <v>1.2453708144226E-2</v>
      </c>
      <c r="BO122" s="4">
        <v>1.5710884831858798E-2</v>
      </c>
      <c r="BP122" s="4">
        <v>1.5547863174105499E-2</v>
      </c>
      <c r="BQ122" s="4">
        <v>1.5357479651954799E-2</v>
      </c>
      <c r="BR122" s="4">
        <v>1.5710884831858798E-2</v>
      </c>
      <c r="BS122" s="4">
        <v>6.3438288816486096E-2</v>
      </c>
      <c r="BT122" s="4">
        <v>8.7523119402642999E-2</v>
      </c>
      <c r="BU122" s="4">
        <v>4.2814923072920001E-2</v>
      </c>
      <c r="BV122" s="4">
        <v>9.7076317302486295E-2</v>
      </c>
      <c r="BW122" s="4">
        <v>0.14824207659132399</v>
      </c>
      <c r="BX122" s="4">
        <v>5.3264086048202201E-2</v>
      </c>
      <c r="BY122" s="4">
        <v>0.10964029380915601</v>
      </c>
      <c r="BZ122" s="4">
        <v>0.119712627628864</v>
      </c>
      <c r="CA122" s="4">
        <v>0.10101555287473001</v>
      </c>
      <c r="CB122" s="4">
        <v>6.4281050424583694E-2</v>
      </c>
      <c r="CC122" s="4">
        <v>4.7306605507234901E-2</v>
      </c>
      <c r="CD122" s="4">
        <v>7.8815933058373505E-2</v>
      </c>
      <c r="CE122" s="4">
        <v>4.0346370165769203E-2</v>
      </c>
      <c r="CF122" s="4">
        <v>3.6031551883801603E-2</v>
      </c>
      <c r="CG122" s="4">
        <v>4.4041064019965999E-2</v>
      </c>
      <c r="CH122" s="4">
        <v>3.53200277965676E-2</v>
      </c>
      <c r="CI122" s="4">
        <v>2.24304253460802E-2</v>
      </c>
      <c r="CJ122" s="4">
        <v>4.6357140334048197E-2</v>
      </c>
      <c r="CK122" s="4">
        <v>1.90368429814998E-2</v>
      </c>
      <c r="CL122" s="4">
        <v>2.3348665631686999E-2</v>
      </c>
      <c r="CM122" s="4">
        <v>1.5344714227755799E-2</v>
      </c>
      <c r="CN122" s="4">
        <v>1.39859115819188E-2</v>
      </c>
      <c r="CO122" s="4">
        <v>1.5626381965210798E-2</v>
      </c>
      <c r="CP122" s="4">
        <v>1.2581209124698201E-2</v>
      </c>
      <c r="CQ122" s="4">
        <v>3.6405312420859003E-2</v>
      </c>
      <c r="CR122" s="4">
        <v>2.6292670629467399E-2</v>
      </c>
      <c r="CS122" s="4">
        <v>4.5064568277008103E-2</v>
      </c>
      <c r="CT122" s="1">
        <f>Table1[[#This Row],[Female %]]*Table1[[#This Row],[NWS_pin]]</f>
        <v>0</v>
      </c>
      <c r="CU122" s="1">
        <f>Table1[[#This Row],[Male %]]*Table1[[#This Row],[NWS_pin]]</f>
        <v>0</v>
      </c>
      <c r="CV122" s="1">
        <f>Table1[[#This Row],[Female% (0-2)22]]+Table1[[#This Row],[Male%(0-2)3]]</f>
        <v>0</v>
      </c>
      <c r="CW122" s="1">
        <f>$CT122*Table1[[#This Row],[Female% (0-2)]]</f>
        <v>0</v>
      </c>
      <c r="CX122" s="1">
        <f>$CU122*Table1[[#This Row],[Male%(0-2)]]</f>
        <v>0</v>
      </c>
      <c r="CY122" s="1">
        <f>Table1[[#This Row],[Female%  (3-5)5]]+Table1[[#This Row],[Male% (3-5)6]]</f>
        <v>0</v>
      </c>
      <c r="CZ122" s="1">
        <f>$AF122*Table1[[#This Row],[Female%  (3-5)]]</f>
        <v>0</v>
      </c>
      <c r="DA122" s="1">
        <f>$CU122*Table1[[#This Row],[Male% (3-5)]]</f>
        <v>0</v>
      </c>
      <c r="DB122" s="1">
        <f>Table1[[#This Row],[Female% (6-8)8]]+Table1[[#This Row],[Male%(6-8)9]]</f>
        <v>0</v>
      </c>
      <c r="DC122" s="1">
        <f>$CT122*Table1[[#This Row],[Female% (6-8)]]</f>
        <v>0</v>
      </c>
      <c r="DD122" s="1">
        <f>$CU122*Table1[[#This Row],[Male%(6-8)]]</f>
        <v>0</v>
      </c>
      <c r="DE122" s="1">
        <f>Table1[[#This Row],[Female% (9 - 11)11]]+Table1[[#This Row],[Male% (9 - 11)12]]</f>
        <v>0</v>
      </c>
      <c r="DF122" s="1">
        <f>$CT122*Table1[[#This Row],[Female% (9 - 11)]]</f>
        <v>0</v>
      </c>
      <c r="DG122" s="1">
        <f>$CU122*Table1[[#This Row],[Male% (9 - 11)]]</f>
        <v>0</v>
      </c>
      <c r="DH122" s="1">
        <f>Table1[[#This Row],[Female% (12-14)14]]+Table1[[#This Row],[Male%(12-14)15]]</f>
        <v>0</v>
      </c>
      <c r="DI122" s="1">
        <f>$CT122*Table1[[#This Row],[Female% (12-14)]]</f>
        <v>0</v>
      </c>
      <c r="DJ122" s="1">
        <f>$CU122*Table1[[#This Row],[Male%(12-14)]]</f>
        <v>0</v>
      </c>
      <c r="DK122" s="1">
        <f>Table1[[#This Row],[Female% (15-17)17]]+Table1[[#This Row],[Male%(15-17)18]]</f>
        <v>0</v>
      </c>
      <c r="DL122" s="1">
        <f>$CT122*Table1[[#This Row],[Female% (15-17)]]</f>
        <v>0</v>
      </c>
      <c r="DM122" s="1">
        <f>$CU122*Table1[[#This Row],[Male%(15-17)]]</f>
        <v>0</v>
      </c>
      <c r="DN122" s="1">
        <f>$AF122*Table1[[#This Row],[Total% (18-19)]]</f>
        <v>0</v>
      </c>
      <c r="DO122" s="1">
        <f>$CT122*Table1[[#This Row],[Female% (18-19)]]</f>
        <v>0</v>
      </c>
      <c r="DP122" s="1">
        <f>$CU122*Table1[[#This Row],[Male%(18-19)]]</f>
        <v>0</v>
      </c>
      <c r="DQ122" s="1">
        <f>$AF122*Table1[[#This Row],[Total% (20-24)]]</f>
        <v>0</v>
      </c>
      <c r="DR122" s="1">
        <f>$CT122*Table1[[#This Row],[Female% (20-24)]]</f>
        <v>0</v>
      </c>
      <c r="DS122" s="1">
        <f>$CU122*Table1[[#This Row],[Male% (20-24)]]</f>
        <v>0</v>
      </c>
      <c r="DT122" s="1">
        <f>$AF122*Table1[[#This Row],[Total% (25-29)]]</f>
        <v>0</v>
      </c>
      <c r="DU122" s="1">
        <f>$CT122*Table1[[#This Row],[Female% (25-29)]]</f>
        <v>0</v>
      </c>
      <c r="DV122" s="1">
        <f>$CU122*Table1[[#This Row],[Male% (25-29)]]</f>
        <v>0</v>
      </c>
      <c r="DW122" s="1">
        <f>$AF122*Table1[[#This Row],[Total%   (30-34)]]</f>
        <v>0</v>
      </c>
      <c r="DX122" s="1">
        <f>$CT122*Table1[[#This Row],[Female%   (30-34)]]</f>
        <v>0</v>
      </c>
      <c r="DY122" s="1">
        <f>$CU122*Table1[[#This Row],[Male%  (30-34)]]</f>
        <v>0</v>
      </c>
      <c r="DZ122" s="1">
        <f>$AF122*Table1[[#This Row],[Total% (35-39)]]</f>
        <v>0</v>
      </c>
      <c r="EA122" s="1">
        <f>$CT122*Table1[[#This Row],[Female% (35-39)]]</f>
        <v>0</v>
      </c>
      <c r="EB122" s="1">
        <f>$CU122*Table1[[#This Row],[Male% (35-39)]]</f>
        <v>0</v>
      </c>
      <c r="EC122" s="1">
        <f>$AF122*Table1[[#This Row],[Total% (40-44)]]</f>
        <v>0</v>
      </c>
      <c r="ED122" s="1">
        <f>$CT122*Table1[[#This Row],[Female% (40-44)]]</f>
        <v>0</v>
      </c>
      <c r="EE122" s="1">
        <f>$CU122*Table1[[#This Row],[Male%(55-59)]]</f>
        <v>0</v>
      </c>
      <c r="EF122" s="1">
        <f>$AF122*Table1[[#This Row],[Total% (45-49)]]</f>
        <v>0</v>
      </c>
      <c r="EG122" s="1">
        <f>$CT122*Table1[[#This Row],[Female% (45-49)]]</f>
        <v>0</v>
      </c>
      <c r="EH122" s="1">
        <f>$CU122*Table1[[#This Row],[Male% (45-49)]]</f>
        <v>0</v>
      </c>
      <c r="EI122" s="1">
        <f>$AF122*Table1[[#This Row],[Total% (50-54)]]</f>
        <v>0</v>
      </c>
      <c r="EJ122" s="1">
        <f>$CT122*Table1[[#This Row],[Female%(50-54)]]</f>
        <v>0</v>
      </c>
      <c r="EK122" s="1">
        <f>$CU122*Table1[[#This Row],[Male% (50-54)]]</f>
        <v>0</v>
      </c>
      <c r="EL122" s="1">
        <f>$AF122*Table1[[#This Row],[Total% (55-59)]]</f>
        <v>0</v>
      </c>
      <c r="EM122" s="1">
        <f>$CT122*Table1[[#This Row],[Female% (55-59)]]</f>
        <v>0</v>
      </c>
      <c r="EN122" s="1">
        <f>$CU122*Table1[[#This Row],[Male% (55-59)]]</f>
        <v>0</v>
      </c>
      <c r="EO122" s="1">
        <f>$AF122*Table1[[#This Row],[Total% (60-64)]]</f>
        <v>0</v>
      </c>
      <c r="EP122" s="1">
        <f>$CT122*Table1[[#This Row],[Female%(60-64)]]</f>
        <v>0</v>
      </c>
      <c r="EQ122" s="1">
        <f>$CU122*Table1[[#This Row],[Male%(60-64)]]</f>
        <v>0</v>
      </c>
      <c r="ER122" s="1">
        <f>$AF122*Table1[[#This Row],[Total% (&gt;=65)]]</f>
        <v>0</v>
      </c>
      <c r="ES122" s="1">
        <f>$CT122*Table1[[#This Row],[Female%(&gt;=65)]]</f>
        <v>0</v>
      </c>
      <c r="ET122" s="1">
        <f>$CU122*Table1[[#This Row],[Male% (&gt;=65)]]</f>
        <v>0</v>
      </c>
    </row>
    <row r="123" spans="1:150" hidden="1" x14ac:dyDescent="0.35">
      <c r="A123" t="s">
        <v>168</v>
      </c>
      <c r="B123" t="s">
        <v>169</v>
      </c>
      <c r="C123" t="s">
        <v>237</v>
      </c>
      <c r="D123" t="s">
        <v>238</v>
      </c>
      <c r="E123" t="s">
        <v>616</v>
      </c>
      <c r="F123" t="s">
        <v>617</v>
      </c>
      <c r="H123">
        <v>3</v>
      </c>
      <c r="I123" s="1">
        <v>0</v>
      </c>
      <c r="J123" s="1">
        <v>58</v>
      </c>
      <c r="K123" s="1">
        <v>914</v>
      </c>
      <c r="L123" s="1">
        <v>44</v>
      </c>
      <c r="M123" s="1">
        <v>0</v>
      </c>
      <c r="N123" s="1">
        <v>958</v>
      </c>
      <c r="O123" s="3">
        <v>1</v>
      </c>
      <c r="P123" s="3">
        <v>0</v>
      </c>
      <c r="Q123" s="3">
        <v>0</v>
      </c>
      <c r="R123" s="3">
        <v>0</v>
      </c>
      <c r="S123" s="3">
        <v>0</v>
      </c>
      <c r="T123" s="1">
        <v>1016</v>
      </c>
      <c r="U123" s="1">
        <v>0</v>
      </c>
      <c r="V123" s="10">
        <f>Table1[[#This Row],[Pop NW+RATAA]]*Table1[[#This Row],[Perc_pop_Northern_Aleppo]]</f>
        <v>0</v>
      </c>
      <c r="W123" s="10">
        <f>Table1[[#This Row],[Pop NW+RATAA]]*Table1[[#This Row],[Perc_pop_Afrin District]]</f>
        <v>0</v>
      </c>
      <c r="X123" s="10">
        <f>Table1[[#This Row],[Pop NW+RATAA]]*Table1[[#This Row],[Perc_pop_Euphrates Shiled]]</f>
        <v>0</v>
      </c>
      <c r="Y123" s="10">
        <f>Table1[[#This Row],[Pop NW+RATAA]]*Table1[[#This Row],[Perc_Pop_Idleb_NSAG]]</f>
        <v>0</v>
      </c>
      <c r="Z123" s="3">
        <v>0</v>
      </c>
      <c r="AA123" s="3">
        <v>0</v>
      </c>
      <c r="AB123" s="3">
        <v>0</v>
      </c>
      <c r="AC123" s="3">
        <v>0</v>
      </c>
      <c r="AD123" s="1">
        <v>958</v>
      </c>
      <c r="AE123" s="1">
        <v>0</v>
      </c>
      <c r="AF123" s="1">
        <v>0</v>
      </c>
      <c r="AG123" s="1">
        <v>0</v>
      </c>
      <c r="AH123" s="1">
        <v>0</v>
      </c>
      <c r="AI123" s="1">
        <f>Table1[[#This Row],[NWS_pin]]*Table1[[#This Row],[Perc_pop_Northern_Aleppo]]</f>
        <v>0</v>
      </c>
      <c r="AJ123" s="1">
        <f>Table1[[#This Row],[NWS_pin]]*Table1[[#This Row],[Perc_pop_Afrin District]]</f>
        <v>0</v>
      </c>
      <c r="AK123" s="1">
        <f>Table1[[#This Row],[NWS_pin]]*Table1[[#This Row],[Perc_pop_Euphrates Shiled]]</f>
        <v>0</v>
      </c>
      <c r="AL123" s="1">
        <f>Table1[[#This Row],[NWS_pin]]*Table1[[#This Row],[Perc_Pop_Idleb_NSAG]]</f>
        <v>0</v>
      </c>
      <c r="AM123" s="4">
        <v>0.43923213598812999</v>
      </c>
      <c r="AN123" s="4">
        <v>0.56076786401186995</v>
      </c>
      <c r="AO123" s="4">
        <v>3.9648910411622301E-2</v>
      </c>
      <c r="AP123" s="4">
        <v>0.43343014185248302</v>
      </c>
      <c r="AQ123" s="4">
        <v>0.52228596116458204</v>
      </c>
      <c r="AR123" s="4">
        <v>1.3417180711902701E-2</v>
      </c>
      <c r="AS123" s="4">
        <v>0</v>
      </c>
      <c r="AT123" s="4">
        <v>3.08667162710318E-2</v>
      </c>
      <c r="AU123" s="4">
        <v>4.7295440807429499E-2</v>
      </c>
      <c r="AV123" s="4">
        <v>7.7984903457191702E-3</v>
      </c>
      <c r="AW123" s="4">
        <v>7.8232181354935607E-2</v>
      </c>
      <c r="AX123" s="4">
        <v>0.12523583609620301</v>
      </c>
      <c r="AY123" s="4">
        <v>0.13098961591392499</v>
      </c>
      <c r="AZ123" s="4">
        <v>0.120729078199517</v>
      </c>
      <c r="BA123" s="4">
        <v>0.118659901452567</v>
      </c>
      <c r="BB123" s="4">
        <v>0.13161516326785899</v>
      </c>
      <c r="BC123" s="4">
        <v>0.10851244528647</v>
      </c>
      <c r="BD123" s="4">
        <v>9.4480977414686904E-2</v>
      </c>
      <c r="BE123" s="4">
        <v>8.4657408565828401E-2</v>
      </c>
      <c r="BF123" s="4">
        <v>0.102175475272751</v>
      </c>
      <c r="BG123" s="4">
        <v>6.0557214294872999E-2</v>
      </c>
      <c r="BH123" s="4">
        <v>4.53313315818007E-2</v>
      </c>
      <c r="BI123" s="4">
        <v>7.2483177631149198E-2</v>
      </c>
      <c r="BJ123" s="4">
        <v>6.3927609766819896E-2</v>
      </c>
      <c r="BK123" s="4">
        <v>5.3588556653738698E-2</v>
      </c>
      <c r="BL123" s="4">
        <v>7.2025870516757004E-2</v>
      </c>
      <c r="BM123" s="4">
        <v>2.038722913194E-2</v>
      </c>
      <c r="BN123" s="4">
        <v>7.7984903457191702E-3</v>
      </c>
      <c r="BO123" s="4">
        <v>3.0247599137649399E-2</v>
      </c>
      <c r="BP123" s="4">
        <v>6.7536131005806604E-2</v>
      </c>
      <c r="BQ123" s="4">
        <v>0.107635848033696</v>
      </c>
      <c r="BR123" s="4">
        <v>3.6127262036976499E-2</v>
      </c>
      <c r="BS123" s="4">
        <v>7.7537413221475296E-2</v>
      </c>
      <c r="BT123" s="4">
        <v>8.3990158054964695E-2</v>
      </c>
      <c r="BU123" s="4">
        <v>7.2483177631149198E-2</v>
      </c>
      <c r="BV123" s="4">
        <v>5.74615793233565E-2</v>
      </c>
      <c r="BW123" s="4">
        <v>6.1970891196463603E-2</v>
      </c>
      <c r="BX123" s="4">
        <v>5.3929574704383601E-2</v>
      </c>
      <c r="BY123" s="4">
        <v>6.4275639734031803E-2</v>
      </c>
      <c r="BZ123" s="4">
        <v>6.9352349972892996E-2</v>
      </c>
      <c r="CA123" s="4">
        <v>6.0299209511988E-2</v>
      </c>
      <c r="CB123" s="4">
        <v>7.4368508783177301E-2</v>
      </c>
      <c r="CC123" s="4">
        <v>8.4574002251970495E-2</v>
      </c>
      <c r="CD123" s="4">
        <v>6.6374861174626001E-2</v>
      </c>
      <c r="CE123" s="4">
        <v>4.0536332496840299E-2</v>
      </c>
      <c r="CF123" s="4">
        <v>4.6332207348096302E-2</v>
      </c>
      <c r="CG123" s="4">
        <v>3.5996602861435897E-2</v>
      </c>
      <c r="CH123" s="4">
        <v>2.0350594398549301E-2</v>
      </c>
      <c r="CI123" s="4">
        <v>1.5221652279077499E-2</v>
      </c>
      <c r="CJ123" s="4">
        <v>2.4367936238322299E-2</v>
      </c>
      <c r="CK123" s="4">
        <v>1.6797025259648699E-2</v>
      </c>
      <c r="CL123" s="4">
        <v>2.3020142624796701E-2</v>
      </c>
      <c r="CM123" s="4">
        <v>1.1922649768079999E-2</v>
      </c>
      <c r="CN123" s="4">
        <v>2.0222372831681702E-2</v>
      </c>
      <c r="CO123" s="4">
        <v>1.55135743775804E-2</v>
      </c>
      <c r="CP123" s="4">
        <v>2.3910629123930199E-2</v>
      </c>
      <c r="CQ123" s="4">
        <v>3.0370193980913299E-2</v>
      </c>
      <c r="CR123" s="4">
        <v>3.0610117185870998E-2</v>
      </c>
      <c r="CS123" s="4">
        <v>3.0182269549879098E-2</v>
      </c>
      <c r="CT123" s="1">
        <f>Table1[[#This Row],[Female %]]*Table1[[#This Row],[NWS_pin]]</f>
        <v>0</v>
      </c>
      <c r="CU123" s="1">
        <f>Table1[[#This Row],[Male %]]*Table1[[#This Row],[NWS_pin]]</f>
        <v>0</v>
      </c>
      <c r="CV123" s="1">
        <f>Table1[[#This Row],[Female% (0-2)22]]+Table1[[#This Row],[Male%(0-2)3]]</f>
        <v>0</v>
      </c>
      <c r="CW123" s="1">
        <f>$CT123*Table1[[#This Row],[Female% (0-2)]]</f>
        <v>0</v>
      </c>
      <c r="CX123" s="1">
        <f>$CU123*Table1[[#This Row],[Male%(0-2)]]</f>
        <v>0</v>
      </c>
      <c r="CY123" s="1">
        <f>Table1[[#This Row],[Female%  (3-5)5]]+Table1[[#This Row],[Male% (3-5)6]]</f>
        <v>0</v>
      </c>
      <c r="CZ123" s="1">
        <f>$AF123*Table1[[#This Row],[Female%  (3-5)]]</f>
        <v>0</v>
      </c>
      <c r="DA123" s="1">
        <f>$CU123*Table1[[#This Row],[Male% (3-5)]]</f>
        <v>0</v>
      </c>
      <c r="DB123" s="1">
        <f>Table1[[#This Row],[Female% (6-8)8]]+Table1[[#This Row],[Male%(6-8)9]]</f>
        <v>0</v>
      </c>
      <c r="DC123" s="1">
        <f>$CT123*Table1[[#This Row],[Female% (6-8)]]</f>
        <v>0</v>
      </c>
      <c r="DD123" s="1">
        <f>$CU123*Table1[[#This Row],[Male%(6-8)]]</f>
        <v>0</v>
      </c>
      <c r="DE123" s="1">
        <f>Table1[[#This Row],[Female% (9 - 11)11]]+Table1[[#This Row],[Male% (9 - 11)12]]</f>
        <v>0</v>
      </c>
      <c r="DF123" s="1">
        <f>$CT123*Table1[[#This Row],[Female% (9 - 11)]]</f>
        <v>0</v>
      </c>
      <c r="DG123" s="1">
        <f>$CU123*Table1[[#This Row],[Male% (9 - 11)]]</f>
        <v>0</v>
      </c>
      <c r="DH123" s="1">
        <f>Table1[[#This Row],[Female% (12-14)14]]+Table1[[#This Row],[Male%(12-14)15]]</f>
        <v>0</v>
      </c>
      <c r="DI123" s="1">
        <f>$CT123*Table1[[#This Row],[Female% (12-14)]]</f>
        <v>0</v>
      </c>
      <c r="DJ123" s="1">
        <f>$CU123*Table1[[#This Row],[Male%(12-14)]]</f>
        <v>0</v>
      </c>
      <c r="DK123" s="1">
        <f>Table1[[#This Row],[Female% (15-17)17]]+Table1[[#This Row],[Male%(15-17)18]]</f>
        <v>0</v>
      </c>
      <c r="DL123" s="1">
        <f>$CT123*Table1[[#This Row],[Female% (15-17)]]</f>
        <v>0</v>
      </c>
      <c r="DM123" s="1">
        <f>$CU123*Table1[[#This Row],[Male%(15-17)]]</f>
        <v>0</v>
      </c>
      <c r="DN123" s="1">
        <f>$AF123*Table1[[#This Row],[Total% (18-19)]]</f>
        <v>0</v>
      </c>
      <c r="DO123" s="1">
        <f>$CT123*Table1[[#This Row],[Female% (18-19)]]</f>
        <v>0</v>
      </c>
      <c r="DP123" s="1">
        <f>$CU123*Table1[[#This Row],[Male%(18-19)]]</f>
        <v>0</v>
      </c>
      <c r="DQ123" s="1">
        <f>$AF123*Table1[[#This Row],[Total% (20-24)]]</f>
        <v>0</v>
      </c>
      <c r="DR123" s="1">
        <f>$CT123*Table1[[#This Row],[Female% (20-24)]]</f>
        <v>0</v>
      </c>
      <c r="DS123" s="1">
        <f>$CU123*Table1[[#This Row],[Male% (20-24)]]</f>
        <v>0</v>
      </c>
      <c r="DT123" s="1">
        <f>$AF123*Table1[[#This Row],[Total% (25-29)]]</f>
        <v>0</v>
      </c>
      <c r="DU123" s="1">
        <f>$CT123*Table1[[#This Row],[Female% (25-29)]]</f>
        <v>0</v>
      </c>
      <c r="DV123" s="1">
        <f>$CU123*Table1[[#This Row],[Male% (25-29)]]</f>
        <v>0</v>
      </c>
      <c r="DW123" s="1">
        <f>$AF123*Table1[[#This Row],[Total%   (30-34)]]</f>
        <v>0</v>
      </c>
      <c r="DX123" s="1">
        <f>$CT123*Table1[[#This Row],[Female%   (30-34)]]</f>
        <v>0</v>
      </c>
      <c r="DY123" s="1">
        <f>$CU123*Table1[[#This Row],[Male%  (30-34)]]</f>
        <v>0</v>
      </c>
      <c r="DZ123" s="1">
        <f>$AF123*Table1[[#This Row],[Total% (35-39)]]</f>
        <v>0</v>
      </c>
      <c r="EA123" s="1">
        <f>$CT123*Table1[[#This Row],[Female% (35-39)]]</f>
        <v>0</v>
      </c>
      <c r="EB123" s="1">
        <f>$CU123*Table1[[#This Row],[Male% (35-39)]]</f>
        <v>0</v>
      </c>
      <c r="EC123" s="1">
        <f>$AF123*Table1[[#This Row],[Total% (40-44)]]</f>
        <v>0</v>
      </c>
      <c r="ED123" s="1">
        <f>$CT123*Table1[[#This Row],[Female% (40-44)]]</f>
        <v>0</v>
      </c>
      <c r="EE123" s="1">
        <f>$CU123*Table1[[#This Row],[Male%(55-59)]]</f>
        <v>0</v>
      </c>
      <c r="EF123" s="1">
        <f>$AF123*Table1[[#This Row],[Total% (45-49)]]</f>
        <v>0</v>
      </c>
      <c r="EG123" s="1">
        <f>$CT123*Table1[[#This Row],[Female% (45-49)]]</f>
        <v>0</v>
      </c>
      <c r="EH123" s="1">
        <f>$CU123*Table1[[#This Row],[Male% (45-49)]]</f>
        <v>0</v>
      </c>
      <c r="EI123" s="1">
        <f>$AF123*Table1[[#This Row],[Total% (50-54)]]</f>
        <v>0</v>
      </c>
      <c r="EJ123" s="1">
        <f>$CT123*Table1[[#This Row],[Female%(50-54)]]</f>
        <v>0</v>
      </c>
      <c r="EK123" s="1">
        <f>$CU123*Table1[[#This Row],[Male% (50-54)]]</f>
        <v>0</v>
      </c>
      <c r="EL123" s="1">
        <f>$AF123*Table1[[#This Row],[Total% (55-59)]]</f>
        <v>0</v>
      </c>
      <c r="EM123" s="1">
        <f>$CT123*Table1[[#This Row],[Female% (55-59)]]</f>
        <v>0</v>
      </c>
      <c r="EN123" s="1">
        <f>$CU123*Table1[[#This Row],[Male% (55-59)]]</f>
        <v>0</v>
      </c>
      <c r="EO123" s="1">
        <f>$AF123*Table1[[#This Row],[Total% (60-64)]]</f>
        <v>0</v>
      </c>
      <c r="EP123" s="1">
        <f>$CT123*Table1[[#This Row],[Female%(60-64)]]</f>
        <v>0</v>
      </c>
      <c r="EQ123" s="1">
        <f>$CU123*Table1[[#This Row],[Male%(60-64)]]</f>
        <v>0</v>
      </c>
      <c r="ER123" s="1">
        <f>$AF123*Table1[[#This Row],[Total% (&gt;=65)]]</f>
        <v>0</v>
      </c>
      <c r="ES123" s="1">
        <f>$CT123*Table1[[#This Row],[Female%(&gt;=65)]]</f>
        <v>0</v>
      </c>
      <c r="ET123" s="1">
        <f>$CU123*Table1[[#This Row],[Male% (&gt;=65)]]</f>
        <v>0</v>
      </c>
    </row>
    <row r="124" spans="1:150" hidden="1" x14ac:dyDescent="0.35">
      <c r="A124" t="s">
        <v>168</v>
      </c>
      <c r="B124" t="s">
        <v>169</v>
      </c>
      <c r="C124" t="s">
        <v>237</v>
      </c>
      <c r="D124" t="s">
        <v>238</v>
      </c>
      <c r="E124" t="s">
        <v>239</v>
      </c>
      <c r="F124" t="s">
        <v>240</v>
      </c>
      <c r="H124">
        <v>3</v>
      </c>
      <c r="I124" s="1">
        <v>0</v>
      </c>
      <c r="J124" s="1">
        <v>6181</v>
      </c>
      <c r="K124" s="1">
        <v>7902</v>
      </c>
      <c r="L124" s="1">
        <v>0</v>
      </c>
      <c r="M124" s="1">
        <v>0</v>
      </c>
      <c r="N124" s="1">
        <v>7902</v>
      </c>
      <c r="O124" s="3">
        <v>1</v>
      </c>
      <c r="P124" s="3">
        <v>0</v>
      </c>
      <c r="Q124" s="3">
        <v>0</v>
      </c>
      <c r="R124" s="3">
        <v>0</v>
      </c>
      <c r="S124" s="3">
        <v>0</v>
      </c>
      <c r="T124" s="1">
        <v>14083</v>
      </c>
      <c r="U124" s="1">
        <v>0</v>
      </c>
      <c r="V124" s="10">
        <f>Table1[[#This Row],[Pop NW+RATAA]]*Table1[[#This Row],[Perc_pop_Northern_Aleppo]]</f>
        <v>0</v>
      </c>
      <c r="W124" s="10">
        <f>Table1[[#This Row],[Pop NW+RATAA]]*Table1[[#This Row],[Perc_pop_Afrin District]]</f>
        <v>0</v>
      </c>
      <c r="X124" s="10">
        <f>Table1[[#This Row],[Pop NW+RATAA]]*Table1[[#This Row],[Perc_pop_Euphrates Shiled]]</f>
        <v>0</v>
      </c>
      <c r="Y124" s="10">
        <f>Table1[[#This Row],[Pop NW+RATAA]]*Table1[[#This Row],[Perc_Pop_Idleb_NSAG]]</f>
        <v>0</v>
      </c>
      <c r="Z124" s="3">
        <v>0</v>
      </c>
      <c r="AA124" s="3">
        <v>0</v>
      </c>
      <c r="AB124" s="3">
        <v>0</v>
      </c>
      <c r="AC124" s="3">
        <v>0</v>
      </c>
      <c r="AD124" s="1">
        <v>7902</v>
      </c>
      <c r="AE124" s="1">
        <v>0</v>
      </c>
      <c r="AF124" s="1">
        <v>0</v>
      </c>
      <c r="AG124" s="1">
        <v>0</v>
      </c>
      <c r="AH124" s="1">
        <v>0</v>
      </c>
      <c r="AI124" s="1">
        <f>Table1[[#This Row],[NWS_pin]]*Table1[[#This Row],[Perc_pop_Northern_Aleppo]]</f>
        <v>0</v>
      </c>
      <c r="AJ124" s="1">
        <f>Table1[[#This Row],[NWS_pin]]*Table1[[#This Row],[Perc_pop_Afrin District]]</f>
        <v>0</v>
      </c>
      <c r="AK124" s="1">
        <f>Table1[[#This Row],[NWS_pin]]*Table1[[#This Row],[Perc_pop_Euphrates Shiled]]</f>
        <v>0</v>
      </c>
      <c r="AL124" s="1">
        <f>Table1[[#This Row],[NWS_pin]]*Table1[[#This Row],[Perc_Pop_Idleb_NSAG]]</f>
        <v>0</v>
      </c>
      <c r="AM124" s="4">
        <v>0.53197780795156002</v>
      </c>
      <c r="AN124" s="4">
        <v>0.46802219204843998</v>
      </c>
      <c r="AO124" s="4">
        <v>0.18333256824580699</v>
      </c>
      <c r="AP124" s="4">
        <v>0.44059934315056698</v>
      </c>
      <c r="AQ124" s="4">
        <v>0.465769603067132</v>
      </c>
      <c r="AR124" s="4">
        <v>2.14518790283829E-2</v>
      </c>
      <c r="AS124" s="4">
        <v>5.1901258561692799E-3</v>
      </c>
      <c r="AT124" s="4">
        <v>6.6989048897749606E-2</v>
      </c>
      <c r="AU124" s="4">
        <v>5.98900259530558E-2</v>
      </c>
      <c r="AV124" s="4">
        <v>5.9996106961586901E-2</v>
      </c>
      <c r="AW124" s="4">
        <v>5.9769448887817302E-2</v>
      </c>
      <c r="AX124" s="4">
        <v>9.8987167987646799E-2</v>
      </c>
      <c r="AY124" s="4">
        <v>0.10934126011093701</v>
      </c>
      <c r="AZ124" s="4">
        <v>8.72181806946115E-2</v>
      </c>
      <c r="BA124" s="4">
        <v>8.7085687755978095E-2</v>
      </c>
      <c r="BB124" s="4">
        <v>6.7983609310065904E-2</v>
      </c>
      <c r="BC124" s="4">
        <v>0.108798080868148</v>
      </c>
      <c r="BD124" s="4">
        <v>8.8992837662114105E-2</v>
      </c>
      <c r="BE124" s="4">
        <v>8.6537395450349996E-2</v>
      </c>
      <c r="BF124" s="4">
        <v>9.1783818063382802E-2</v>
      </c>
      <c r="BG124" s="4">
        <v>7.8659123410862494E-2</v>
      </c>
      <c r="BH124" s="4">
        <v>5.5078472174935701E-2</v>
      </c>
      <c r="BI124" s="4">
        <v>0.10546208995322701</v>
      </c>
      <c r="BJ124" s="4">
        <v>6.6376535607954798E-2</v>
      </c>
      <c r="BK124" s="4">
        <v>6.2028365704613203E-2</v>
      </c>
      <c r="BL124" s="4">
        <v>7.1318886490199199E-2</v>
      </c>
      <c r="BM124" s="4">
        <v>3.0253815366609999E-2</v>
      </c>
      <c r="BN124" s="4">
        <v>3.0359639031203801E-2</v>
      </c>
      <c r="BO124" s="4">
        <v>3.01335308115687E-2</v>
      </c>
      <c r="BP124" s="4">
        <v>5.2977176502115302E-2</v>
      </c>
      <c r="BQ124" s="4">
        <v>7.4137961153038098E-2</v>
      </c>
      <c r="BR124" s="4">
        <v>2.8924753295722E-2</v>
      </c>
      <c r="BS124" s="4">
        <v>9.1698616074091299E-2</v>
      </c>
      <c r="BT124" s="4">
        <v>0.106697059936036</v>
      </c>
      <c r="BU124" s="4">
        <v>7.4650622573099498E-2</v>
      </c>
      <c r="BV124" s="4">
        <v>7.7321027133740103E-2</v>
      </c>
      <c r="BW124" s="4">
        <v>8.4231875357173802E-2</v>
      </c>
      <c r="BX124" s="4">
        <v>6.9465805839858299E-2</v>
      </c>
      <c r="BY124" s="4">
        <v>7.4921727863401302E-2</v>
      </c>
      <c r="BZ124" s="4">
        <v>7.5911040507207303E-2</v>
      </c>
      <c r="CA124" s="4">
        <v>7.3797224836467598E-2</v>
      </c>
      <c r="CB124" s="4">
        <v>5.1037595944234099E-2</v>
      </c>
      <c r="CC124" s="4">
        <v>5.1185255509166298E-2</v>
      </c>
      <c r="CD124" s="4">
        <v>5.0869758578805102E-2</v>
      </c>
      <c r="CE124" s="4">
        <v>3.7254284473142697E-2</v>
      </c>
      <c r="CF124" s="4">
        <v>4.39637049034102E-2</v>
      </c>
      <c r="CG124" s="4">
        <v>2.96280162453539E-2</v>
      </c>
      <c r="CH124" s="4">
        <v>3.0923859183075698E-2</v>
      </c>
      <c r="CI124" s="4">
        <v>2.6720610679402901E-2</v>
      </c>
      <c r="CJ124" s="4">
        <v>3.57014850376806E-2</v>
      </c>
      <c r="CK124" s="4">
        <v>1.8086536547685099E-2</v>
      </c>
      <c r="CL124" s="4">
        <v>1.8726156476614901E-2</v>
      </c>
      <c r="CM124" s="4">
        <v>1.7359512031550599E-2</v>
      </c>
      <c r="CN124" s="4">
        <v>2.42882823219095E-2</v>
      </c>
      <c r="CO124" s="4">
        <v>2.6930414077398001E-2</v>
      </c>
      <c r="CP124" s="4">
        <v>2.1285101097848001E-2</v>
      </c>
      <c r="CQ124" s="4">
        <v>3.12457002123828E-2</v>
      </c>
      <c r="CR124" s="4">
        <v>2.01710726568597E-2</v>
      </c>
      <c r="CS124" s="4">
        <v>4.3833684694660098E-2</v>
      </c>
      <c r="CT124" s="1">
        <f>Table1[[#This Row],[Female %]]*Table1[[#This Row],[NWS_pin]]</f>
        <v>0</v>
      </c>
      <c r="CU124" s="1">
        <f>Table1[[#This Row],[Male %]]*Table1[[#This Row],[NWS_pin]]</f>
        <v>0</v>
      </c>
      <c r="CV124" s="1">
        <f>Table1[[#This Row],[Female% (0-2)22]]+Table1[[#This Row],[Male%(0-2)3]]</f>
        <v>0</v>
      </c>
      <c r="CW124" s="1">
        <f>$CT124*Table1[[#This Row],[Female% (0-2)]]</f>
        <v>0</v>
      </c>
      <c r="CX124" s="1">
        <f>$CU124*Table1[[#This Row],[Male%(0-2)]]</f>
        <v>0</v>
      </c>
      <c r="CY124" s="1">
        <f>Table1[[#This Row],[Female%  (3-5)5]]+Table1[[#This Row],[Male% (3-5)6]]</f>
        <v>0</v>
      </c>
      <c r="CZ124" s="1">
        <f>$AF124*Table1[[#This Row],[Female%  (3-5)]]</f>
        <v>0</v>
      </c>
      <c r="DA124" s="1">
        <f>$CU124*Table1[[#This Row],[Male% (3-5)]]</f>
        <v>0</v>
      </c>
      <c r="DB124" s="1">
        <f>Table1[[#This Row],[Female% (6-8)8]]+Table1[[#This Row],[Male%(6-8)9]]</f>
        <v>0</v>
      </c>
      <c r="DC124" s="1">
        <f>$CT124*Table1[[#This Row],[Female% (6-8)]]</f>
        <v>0</v>
      </c>
      <c r="DD124" s="1">
        <f>$CU124*Table1[[#This Row],[Male%(6-8)]]</f>
        <v>0</v>
      </c>
      <c r="DE124" s="1">
        <f>Table1[[#This Row],[Female% (9 - 11)11]]+Table1[[#This Row],[Male% (9 - 11)12]]</f>
        <v>0</v>
      </c>
      <c r="DF124" s="1">
        <f>$CT124*Table1[[#This Row],[Female% (9 - 11)]]</f>
        <v>0</v>
      </c>
      <c r="DG124" s="1">
        <f>$CU124*Table1[[#This Row],[Male% (9 - 11)]]</f>
        <v>0</v>
      </c>
      <c r="DH124" s="1">
        <f>Table1[[#This Row],[Female% (12-14)14]]+Table1[[#This Row],[Male%(12-14)15]]</f>
        <v>0</v>
      </c>
      <c r="DI124" s="1">
        <f>$CT124*Table1[[#This Row],[Female% (12-14)]]</f>
        <v>0</v>
      </c>
      <c r="DJ124" s="1">
        <f>$CU124*Table1[[#This Row],[Male%(12-14)]]</f>
        <v>0</v>
      </c>
      <c r="DK124" s="1">
        <f>Table1[[#This Row],[Female% (15-17)17]]+Table1[[#This Row],[Male%(15-17)18]]</f>
        <v>0</v>
      </c>
      <c r="DL124" s="1">
        <f>$CT124*Table1[[#This Row],[Female% (15-17)]]</f>
        <v>0</v>
      </c>
      <c r="DM124" s="1">
        <f>$CU124*Table1[[#This Row],[Male%(15-17)]]</f>
        <v>0</v>
      </c>
      <c r="DN124" s="1">
        <f>$AF124*Table1[[#This Row],[Total% (18-19)]]</f>
        <v>0</v>
      </c>
      <c r="DO124" s="1">
        <f>$CT124*Table1[[#This Row],[Female% (18-19)]]</f>
        <v>0</v>
      </c>
      <c r="DP124" s="1">
        <f>$CU124*Table1[[#This Row],[Male%(18-19)]]</f>
        <v>0</v>
      </c>
      <c r="DQ124" s="1">
        <f>$AF124*Table1[[#This Row],[Total% (20-24)]]</f>
        <v>0</v>
      </c>
      <c r="DR124" s="1">
        <f>$CT124*Table1[[#This Row],[Female% (20-24)]]</f>
        <v>0</v>
      </c>
      <c r="DS124" s="1">
        <f>$CU124*Table1[[#This Row],[Male% (20-24)]]</f>
        <v>0</v>
      </c>
      <c r="DT124" s="1">
        <f>$AF124*Table1[[#This Row],[Total% (25-29)]]</f>
        <v>0</v>
      </c>
      <c r="DU124" s="1">
        <f>$CT124*Table1[[#This Row],[Female% (25-29)]]</f>
        <v>0</v>
      </c>
      <c r="DV124" s="1">
        <f>$CU124*Table1[[#This Row],[Male% (25-29)]]</f>
        <v>0</v>
      </c>
      <c r="DW124" s="1">
        <f>$AF124*Table1[[#This Row],[Total%   (30-34)]]</f>
        <v>0</v>
      </c>
      <c r="DX124" s="1">
        <f>$CT124*Table1[[#This Row],[Female%   (30-34)]]</f>
        <v>0</v>
      </c>
      <c r="DY124" s="1">
        <f>$CU124*Table1[[#This Row],[Male%  (30-34)]]</f>
        <v>0</v>
      </c>
      <c r="DZ124" s="1">
        <f>$AF124*Table1[[#This Row],[Total% (35-39)]]</f>
        <v>0</v>
      </c>
      <c r="EA124" s="1">
        <f>$CT124*Table1[[#This Row],[Female% (35-39)]]</f>
        <v>0</v>
      </c>
      <c r="EB124" s="1">
        <f>$CU124*Table1[[#This Row],[Male% (35-39)]]</f>
        <v>0</v>
      </c>
      <c r="EC124" s="1">
        <f>$AF124*Table1[[#This Row],[Total% (40-44)]]</f>
        <v>0</v>
      </c>
      <c r="ED124" s="1">
        <f>$CT124*Table1[[#This Row],[Female% (40-44)]]</f>
        <v>0</v>
      </c>
      <c r="EE124" s="1">
        <f>$CU124*Table1[[#This Row],[Male%(55-59)]]</f>
        <v>0</v>
      </c>
      <c r="EF124" s="1">
        <f>$AF124*Table1[[#This Row],[Total% (45-49)]]</f>
        <v>0</v>
      </c>
      <c r="EG124" s="1">
        <f>$CT124*Table1[[#This Row],[Female% (45-49)]]</f>
        <v>0</v>
      </c>
      <c r="EH124" s="1">
        <f>$CU124*Table1[[#This Row],[Male% (45-49)]]</f>
        <v>0</v>
      </c>
      <c r="EI124" s="1">
        <f>$AF124*Table1[[#This Row],[Total% (50-54)]]</f>
        <v>0</v>
      </c>
      <c r="EJ124" s="1">
        <f>$CT124*Table1[[#This Row],[Female%(50-54)]]</f>
        <v>0</v>
      </c>
      <c r="EK124" s="1">
        <f>$CU124*Table1[[#This Row],[Male% (50-54)]]</f>
        <v>0</v>
      </c>
      <c r="EL124" s="1">
        <f>$AF124*Table1[[#This Row],[Total% (55-59)]]</f>
        <v>0</v>
      </c>
      <c r="EM124" s="1">
        <f>$CT124*Table1[[#This Row],[Female% (55-59)]]</f>
        <v>0</v>
      </c>
      <c r="EN124" s="1">
        <f>$CU124*Table1[[#This Row],[Male% (55-59)]]</f>
        <v>0</v>
      </c>
      <c r="EO124" s="1">
        <f>$AF124*Table1[[#This Row],[Total% (60-64)]]</f>
        <v>0</v>
      </c>
      <c r="EP124" s="1">
        <f>$CT124*Table1[[#This Row],[Female%(60-64)]]</f>
        <v>0</v>
      </c>
      <c r="EQ124" s="1">
        <f>$CU124*Table1[[#This Row],[Male%(60-64)]]</f>
        <v>0</v>
      </c>
      <c r="ER124" s="1">
        <f>$AF124*Table1[[#This Row],[Total% (&gt;=65)]]</f>
        <v>0</v>
      </c>
      <c r="ES124" s="1">
        <f>$CT124*Table1[[#This Row],[Female%(&gt;=65)]]</f>
        <v>0</v>
      </c>
      <c r="ET124" s="1">
        <f>$CU124*Table1[[#This Row],[Male% (&gt;=65)]]</f>
        <v>0</v>
      </c>
    </row>
    <row r="125" spans="1:150" hidden="1" x14ac:dyDescent="0.35">
      <c r="A125" t="s">
        <v>12</v>
      </c>
      <c r="B125" t="s">
        <v>13</v>
      </c>
      <c r="C125" t="s">
        <v>12</v>
      </c>
      <c r="D125" t="s">
        <v>14</v>
      </c>
      <c r="E125" t="s">
        <v>12</v>
      </c>
      <c r="F125" t="s">
        <v>152</v>
      </c>
      <c r="H125">
        <v>3</v>
      </c>
      <c r="I125" s="1">
        <v>0</v>
      </c>
      <c r="J125" s="1">
        <v>551097</v>
      </c>
      <c r="K125" s="1">
        <v>373626</v>
      </c>
      <c r="L125" s="1">
        <v>9341</v>
      </c>
      <c r="M125" s="1">
        <v>0</v>
      </c>
      <c r="N125" s="1">
        <v>382967</v>
      </c>
      <c r="O125" s="3">
        <v>1</v>
      </c>
      <c r="P125" s="3">
        <v>0</v>
      </c>
      <c r="Q125" s="3">
        <v>0</v>
      </c>
      <c r="R125" s="3">
        <v>0</v>
      </c>
      <c r="S125" s="3">
        <v>0</v>
      </c>
      <c r="T125" s="1">
        <v>934064</v>
      </c>
      <c r="U125" s="1">
        <v>0</v>
      </c>
      <c r="V125" s="10">
        <f>Table1[[#This Row],[Pop NW+RATAA]]*Table1[[#This Row],[Perc_pop_Northern_Aleppo]]</f>
        <v>0</v>
      </c>
      <c r="W125" s="10">
        <f>Table1[[#This Row],[Pop NW+RATAA]]*Table1[[#This Row],[Perc_pop_Afrin District]]</f>
        <v>0</v>
      </c>
      <c r="X125" s="10">
        <f>Table1[[#This Row],[Pop NW+RATAA]]*Table1[[#This Row],[Perc_pop_Euphrates Shiled]]</f>
        <v>0</v>
      </c>
      <c r="Y125" s="10">
        <f>Table1[[#This Row],[Pop NW+RATAA]]*Table1[[#This Row],[Perc_Pop_Idleb_NSAG]]</f>
        <v>0</v>
      </c>
      <c r="Z125" s="3">
        <v>0</v>
      </c>
      <c r="AA125" s="3">
        <v>0</v>
      </c>
      <c r="AB125" s="3">
        <v>0</v>
      </c>
      <c r="AC125" s="3">
        <v>0</v>
      </c>
      <c r="AD125" s="1">
        <v>382967</v>
      </c>
      <c r="AE125" s="1">
        <v>0</v>
      </c>
      <c r="AF125" s="1">
        <v>0</v>
      </c>
      <c r="AG125" s="1">
        <v>0</v>
      </c>
      <c r="AH125" s="1">
        <v>0</v>
      </c>
      <c r="AI125" s="1">
        <f>Table1[[#This Row],[NWS_pin]]*Table1[[#This Row],[Perc_pop_Northern_Aleppo]]</f>
        <v>0</v>
      </c>
      <c r="AJ125" s="1">
        <f>Table1[[#This Row],[NWS_pin]]*Table1[[#This Row],[Perc_pop_Afrin District]]</f>
        <v>0</v>
      </c>
      <c r="AK125" s="1">
        <f>Table1[[#This Row],[NWS_pin]]*Table1[[#This Row],[Perc_pop_Euphrates Shiled]]</f>
        <v>0</v>
      </c>
      <c r="AL125" s="1">
        <f>Table1[[#This Row],[NWS_pin]]*Table1[[#This Row],[Perc_Pop_Idleb_NSAG]]</f>
        <v>0</v>
      </c>
      <c r="AM125" s="4">
        <v>0.52709172266898496</v>
      </c>
      <c r="AN125" s="4">
        <v>0.47290827733101498</v>
      </c>
      <c r="AO125" s="4">
        <v>0.22129667591694499</v>
      </c>
      <c r="AP125" s="4">
        <v>0.47639978232839703</v>
      </c>
      <c r="AQ125" s="4">
        <v>0.45045146647252199</v>
      </c>
      <c r="AR125" s="4">
        <v>2.21390746157147E-2</v>
      </c>
      <c r="AS125" s="4">
        <v>0</v>
      </c>
      <c r="AT125" s="4">
        <v>5.1009676583365998E-2</v>
      </c>
      <c r="AU125" s="4">
        <v>3.6097074289523398E-2</v>
      </c>
      <c r="AV125" s="4">
        <v>3.60959794456664E-2</v>
      </c>
      <c r="AW125" s="4">
        <v>3.6098294575067899E-2</v>
      </c>
      <c r="AX125" s="4">
        <v>4.4472608449560899E-2</v>
      </c>
      <c r="AY125" s="4">
        <v>3.3912094823750898E-2</v>
      </c>
      <c r="AZ125" s="4">
        <v>5.6243092465431098E-2</v>
      </c>
      <c r="BA125" s="4">
        <v>4.82801849071922E-2</v>
      </c>
      <c r="BB125" s="4">
        <v>4.97879771222813E-2</v>
      </c>
      <c r="BC125" s="4">
        <v>4.65996374645389E-2</v>
      </c>
      <c r="BD125" s="4">
        <v>5.32406093714951E-2</v>
      </c>
      <c r="BE125" s="4">
        <v>5.1294032291213203E-2</v>
      </c>
      <c r="BF125" s="4">
        <v>5.5410215436215202E-2</v>
      </c>
      <c r="BG125" s="4">
        <v>5.89846422267526E-2</v>
      </c>
      <c r="BH125" s="4">
        <v>5.5051473134327997E-2</v>
      </c>
      <c r="BI125" s="4">
        <v>6.3368453997134006E-2</v>
      </c>
      <c r="BJ125" s="4">
        <v>7.4707922939737104E-2</v>
      </c>
      <c r="BK125" s="4">
        <v>4.9738764130304702E-2</v>
      </c>
      <c r="BL125" s="4">
        <v>0.102537922035412</v>
      </c>
      <c r="BM125" s="4">
        <v>3.8803745488934803E-2</v>
      </c>
      <c r="BN125" s="4">
        <v>5.1605445786838698E-2</v>
      </c>
      <c r="BO125" s="4">
        <v>2.4535290935344501E-2</v>
      </c>
      <c r="BP125" s="4">
        <v>9.2156491482682804E-2</v>
      </c>
      <c r="BQ125" s="4">
        <v>7.5217832339888102E-2</v>
      </c>
      <c r="BR125" s="4">
        <v>0.11103589676115901</v>
      </c>
      <c r="BS125" s="4">
        <v>7.7265592655018894E-2</v>
      </c>
      <c r="BT125" s="4">
        <v>0.11105355554412299</v>
      </c>
      <c r="BU125" s="4">
        <v>3.96063753852232E-2</v>
      </c>
      <c r="BV125" s="4">
        <v>7.0919087144738102E-2</v>
      </c>
      <c r="BW125" s="4">
        <v>0.105674768281263</v>
      </c>
      <c r="BX125" s="4">
        <v>3.2181275351348897E-2</v>
      </c>
      <c r="BY125" s="4">
        <v>7.3868710780579494E-2</v>
      </c>
      <c r="BZ125" s="4">
        <v>9.0794284928679095E-2</v>
      </c>
      <c r="CA125" s="4">
        <v>5.5003889709497003E-2</v>
      </c>
      <c r="CB125" s="4">
        <v>7.4504269605229295E-2</v>
      </c>
      <c r="CC125" s="4">
        <v>7.0742590544974504E-2</v>
      </c>
      <c r="CD125" s="4">
        <v>7.86969428804523E-2</v>
      </c>
      <c r="CE125" s="4">
        <v>7.7793382790311699E-2</v>
      </c>
      <c r="CF125" s="4">
        <v>6.0674249478131402E-2</v>
      </c>
      <c r="CG125" s="4">
        <v>9.6873940058293695E-2</v>
      </c>
      <c r="CH125" s="4">
        <v>5.0538887442248902E-2</v>
      </c>
      <c r="CI125" s="4">
        <v>5.8513905923165702E-2</v>
      </c>
      <c r="CJ125" s="4">
        <v>4.1650131565216401E-2</v>
      </c>
      <c r="CK125" s="4">
        <v>5.4747414497665202E-2</v>
      </c>
      <c r="CL125" s="4">
        <v>4.5963441739307997E-2</v>
      </c>
      <c r="CM125" s="4">
        <v>6.4537810553345204E-2</v>
      </c>
      <c r="CN125" s="4">
        <v>3.23990939575894E-2</v>
      </c>
      <c r="CO125" s="4">
        <v>2.07043034070005E-2</v>
      </c>
      <c r="CP125" s="4">
        <v>4.54338146276363E-2</v>
      </c>
      <c r="CQ125" s="4">
        <v>4.1220281970740097E-2</v>
      </c>
      <c r="CR125" s="4">
        <v>3.3175301079083799E-2</v>
      </c>
      <c r="CS125" s="4">
        <v>5.0187016198684403E-2</v>
      </c>
      <c r="CT125" s="1">
        <f>Table1[[#This Row],[Female %]]*Table1[[#This Row],[NWS_pin]]</f>
        <v>0</v>
      </c>
      <c r="CU125" s="1">
        <f>Table1[[#This Row],[Male %]]*Table1[[#This Row],[NWS_pin]]</f>
        <v>0</v>
      </c>
      <c r="CV125" s="1">
        <f>Table1[[#This Row],[Female% (0-2)22]]+Table1[[#This Row],[Male%(0-2)3]]</f>
        <v>0</v>
      </c>
      <c r="CW125" s="1">
        <f>$CT125*Table1[[#This Row],[Female% (0-2)]]</f>
        <v>0</v>
      </c>
      <c r="CX125" s="1">
        <f>$CU125*Table1[[#This Row],[Male%(0-2)]]</f>
        <v>0</v>
      </c>
      <c r="CY125" s="1">
        <f>Table1[[#This Row],[Female%  (3-5)5]]+Table1[[#This Row],[Male% (3-5)6]]</f>
        <v>0</v>
      </c>
      <c r="CZ125" s="1">
        <f>$AF125*Table1[[#This Row],[Female%  (3-5)]]</f>
        <v>0</v>
      </c>
      <c r="DA125" s="1">
        <f>$CU125*Table1[[#This Row],[Male% (3-5)]]</f>
        <v>0</v>
      </c>
      <c r="DB125" s="1">
        <f>Table1[[#This Row],[Female% (6-8)8]]+Table1[[#This Row],[Male%(6-8)9]]</f>
        <v>0</v>
      </c>
      <c r="DC125" s="1">
        <f>$CT125*Table1[[#This Row],[Female% (6-8)]]</f>
        <v>0</v>
      </c>
      <c r="DD125" s="1">
        <f>$CU125*Table1[[#This Row],[Male%(6-8)]]</f>
        <v>0</v>
      </c>
      <c r="DE125" s="1">
        <f>Table1[[#This Row],[Female% (9 - 11)11]]+Table1[[#This Row],[Male% (9 - 11)12]]</f>
        <v>0</v>
      </c>
      <c r="DF125" s="1">
        <f>$CT125*Table1[[#This Row],[Female% (9 - 11)]]</f>
        <v>0</v>
      </c>
      <c r="DG125" s="1">
        <f>$CU125*Table1[[#This Row],[Male% (9 - 11)]]</f>
        <v>0</v>
      </c>
      <c r="DH125" s="1">
        <f>Table1[[#This Row],[Female% (12-14)14]]+Table1[[#This Row],[Male%(12-14)15]]</f>
        <v>0</v>
      </c>
      <c r="DI125" s="1">
        <f>$CT125*Table1[[#This Row],[Female% (12-14)]]</f>
        <v>0</v>
      </c>
      <c r="DJ125" s="1">
        <f>$CU125*Table1[[#This Row],[Male%(12-14)]]</f>
        <v>0</v>
      </c>
      <c r="DK125" s="1">
        <f>Table1[[#This Row],[Female% (15-17)17]]+Table1[[#This Row],[Male%(15-17)18]]</f>
        <v>0</v>
      </c>
      <c r="DL125" s="1">
        <f>$CT125*Table1[[#This Row],[Female% (15-17)]]</f>
        <v>0</v>
      </c>
      <c r="DM125" s="1">
        <f>$CU125*Table1[[#This Row],[Male%(15-17)]]</f>
        <v>0</v>
      </c>
      <c r="DN125" s="1">
        <f>$AF125*Table1[[#This Row],[Total% (18-19)]]</f>
        <v>0</v>
      </c>
      <c r="DO125" s="1">
        <f>$CT125*Table1[[#This Row],[Female% (18-19)]]</f>
        <v>0</v>
      </c>
      <c r="DP125" s="1">
        <f>$CU125*Table1[[#This Row],[Male%(18-19)]]</f>
        <v>0</v>
      </c>
      <c r="DQ125" s="1">
        <f>$AF125*Table1[[#This Row],[Total% (20-24)]]</f>
        <v>0</v>
      </c>
      <c r="DR125" s="1">
        <f>$CT125*Table1[[#This Row],[Female% (20-24)]]</f>
        <v>0</v>
      </c>
      <c r="DS125" s="1">
        <f>$CU125*Table1[[#This Row],[Male% (20-24)]]</f>
        <v>0</v>
      </c>
      <c r="DT125" s="1">
        <f>$AF125*Table1[[#This Row],[Total% (25-29)]]</f>
        <v>0</v>
      </c>
      <c r="DU125" s="1">
        <f>$CT125*Table1[[#This Row],[Female% (25-29)]]</f>
        <v>0</v>
      </c>
      <c r="DV125" s="1">
        <f>$CU125*Table1[[#This Row],[Male% (25-29)]]</f>
        <v>0</v>
      </c>
      <c r="DW125" s="1">
        <f>$AF125*Table1[[#This Row],[Total%   (30-34)]]</f>
        <v>0</v>
      </c>
      <c r="DX125" s="1">
        <f>$CT125*Table1[[#This Row],[Female%   (30-34)]]</f>
        <v>0</v>
      </c>
      <c r="DY125" s="1">
        <f>$CU125*Table1[[#This Row],[Male%  (30-34)]]</f>
        <v>0</v>
      </c>
      <c r="DZ125" s="1">
        <f>$AF125*Table1[[#This Row],[Total% (35-39)]]</f>
        <v>0</v>
      </c>
      <c r="EA125" s="1">
        <f>$CT125*Table1[[#This Row],[Female% (35-39)]]</f>
        <v>0</v>
      </c>
      <c r="EB125" s="1">
        <f>$CU125*Table1[[#This Row],[Male% (35-39)]]</f>
        <v>0</v>
      </c>
      <c r="EC125" s="1">
        <f>$AF125*Table1[[#This Row],[Total% (40-44)]]</f>
        <v>0</v>
      </c>
      <c r="ED125" s="1">
        <f>$CT125*Table1[[#This Row],[Female% (40-44)]]</f>
        <v>0</v>
      </c>
      <c r="EE125" s="1">
        <f>$CU125*Table1[[#This Row],[Male%(55-59)]]</f>
        <v>0</v>
      </c>
      <c r="EF125" s="1">
        <f>$AF125*Table1[[#This Row],[Total% (45-49)]]</f>
        <v>0</v>
      </c>
      <c r="EG125" s="1">
        <f>$CT125*Table1[[#This Row],[Female% (45-49)]]</f>
        <v>0</v>
      </c>
      <c r="EH125" s="1">
        <f>$CU125*Table1[[#This Row],[Male% (45-49)]]</f>
        <v>0</v>
      </c>
      <c r="EI125" s="1">
        <f>$AF125*Table1[[#This Row],[Total% (50-54)]]</f>
        <v>0</v>
      </c>
      <c r="EJ125" s="1">
        <f>$CT125*Table1[[#This Row],[Female%(50-54)]]</f>
        <v>0</v>
      </c>
      <c r="EK125" s="1">
        <f>$CU125*Table1[[#This Row],[Male% (50-54)]]</f>
        <v>0</v>
      </c>
      <c r="EL125" s="1">
        <f>$AF125*Table1[[#This Row],[Total% (55-59)]]</f>
        <v>0</v>
      </c>
      <c r="EM125" s="1">
        <f>$CT125*Table1[[#This Row],[Female% (55-59)]]</f>
        <v>0</v>
      </c>
      <c r="EN125" s="1">
        <f>$CU125*Table1[[#This Row],[Male% (55-59)]]</f>
        <v>0</v>
      </c>
      <c r="EO125" s="1">
        <f>$AF125*Table1[[#This Row],[Total% (60-64)]]</f>
        <v>0</v>
      </c>
      <c r="EP125" s="1">
        <f>$CT125*Table1[[#This Row],[Female%(60-64)]]</f>
        <v>0</v>
      </c>
      <c r="EQ125" s="1">
        <f>$CU125*Table1[[#This Row],[Male%(60-64)]]</f>
        <v>0</v>
      </c>
      <c r="ER125" s="1">
        <f>$AF125*Table1[[#This Row],[Total% (&gt;=65)]]</f>
        <v>0</v>
      </c>
      <c r="ES125" s="1">
        <f>$CT125*Table1[[#This Row],[Female%(&gt;=65)]]</f>
        <v>0</v>
      </c>
      <c r="ET125" s="1">
        <f>$CU125*Table1[[#This Row],[Male% (&gt;=65)]]</f>
        <v>0</v>
      </c>
    </row>
    <row r="126" spans="1:150" hidden="1" x14ac:dyDescent="0.35">
      <c r="A126" t="s">
        <v>12</v>
      </c>
      <c r="B126" t="s">
        <v>13</v>
      </c>
      <c r="C126" t="s">
        <v>12</v>
      </c>
      <c r="D126" t="s">
        <v>14</v>
      </c>
      <c r="E126" t="s">
        <v>543</v>
      </c>
      <c r="F126" t="s">
        <v>544</v>
      </c>
      <c r="H126">
        <v>2</v>
      </c>
      <c r="I126" s="1">
        <v>319</v>
      </c>
      <c r="J126" s="1">
        <v>9631</v>
      </c>
      <c r="K126" s="1">
        <v>823</v>
      </c>
      <c r="L126" s="1">
        <v>0</v>
      </c>
      <c r="M126" s="1">
        <v>0</v>
      </c>
      <c r="N126" s="1">
        <v>823</v>
      </c>
      <c r="O126" s="3">
        <v>1</v>
      </c>
      <c r="P126" s="3">
        <v>0</v>
      </c>
      <c r="Q126" s="3">
        <v>0</v>
      </c>
      <c r="R126" s="3">
        <v>0</v>
      </c>
      <c r="S126" s="3">
        <v>0</v>
      </c>
      <c r="T126" s="1">
        <v>10773</v>
      </c>
      <c r="U126" s="1">
        <v>0</v>
      </c>
      <c r="V126" s="10">
        <f>Table1[[#This Row],[Pop NW+RATAA]]*Table1[[#This Row],[Perc_pop_Northern_Aleppo]]</f>
        <v>0</v>
      </c>
      <c r="W126" s="10">
        <f>Table1[[#This Row],[Pop NW+RATAA]]*Table1[[#This Row],[Perc_pop_Afrin District]]</f>
        <v>0</v>
      </c>
      <c r="X126" s="10">
        <f>Table1[[#This Row],[Pop NW+RATAA]]*Table1[[#This Row],[Perc_pop_Euphrates Shiled]]</f>
        <v>0</v>
      </c>
      <c r="Y126" s="10">
        <f>Table1[[#This Row],[Pop NW+RATAA]]*Table1[[#This Row],[Perc_Pop_Idleb_NSAG]]</f>
        <v>0</v>
      </c>
      <c r="Z126" s="3">
        <v>0</v>
      </c>
      <c r="AA126" s="3">
        <v>0</v>
      </c>
      <c r="AB126" s="3">
        <v>0</v>
      </c>
      <c r="AC126" s="3">
        <v>0</v>
      </c>
      <c r="AD126" s="1">
        <v>823</v>
      </c>
      <c r="AE126" s="1">
        <v>0</v>
      </c>
      <c r="AF126" s="1">
        <v>0</v>
      </c>
      <c r="AG126" s="1">
        <v>0</v>
      </c>
      <c r="AH126" s="1">
        <v>0</v>
      </c>
      <c r="AI126" s="1">
        <f>Table1[[#This Row],[NWS_pin]]*Table1[[#This Row],[Perc_pop_Northern_Aleppo]]</f>
        <v>0</v>
      </c>
      <c r="AJ126" s="1">
        <f>Table1[[#This Row],[NWS_pin]]*Table1[[#This Row],[Perc_pop_Afrin District]]</f>
        <v>0</v>
      </c>
      <c r="AK126" s="1">
        <f>Table1[[#This Row],[NWS_pin]]*Table1[[#This Row],[Perc_pop_Euphrates Shiled]]</f>
        <v>0</v>
      </c>
      <c r="AL126" s="1">
        <f>Table1[[#This Row],[NWS_pin]]*Table1[[#This Row],[Perc_Pop_Idleb_NSAG]]</f>
        <v>0</v>
      </c>
      <c r="AM126" s="4">
        <v>0.54546009003335405</v>
      </c>
      <c r="AN126" s="4">
        <v>0.45453990996664601</v>
      </c>
      <c r="AO126" s="4">
        <v>7.3747431642168501E-2</v>
      </c>
      <c r="AP126" s="4">
        <v>0.41369436914031499</v>
      </c>
      <c r="AQ126" s="4">
        <v>0.53334009917662395</v>
      </c>
      <c r="AR126" s="4">
        <v>0</v>
      </c>
      <c r="AS126" s="4">
        <v>0</v>
      </c>
      <c r="AT126" s="4">
        <v>5.2965531683060799E-2</v>
      </c>
      <c r="AU126" s="4">
        <v>2.79754655578245E-2</v>
      </c>
      <c r="AV126" s="4">
        <v>2.5233567175842998E-2</v>
      </c>
      <c r="AW126" s="4">
        <v>3.12658171980306E-2</v>
      </c>
      <c r="AX126" s="4">
        <v>8.1640301296206502E-2</v>
      </c>
      <c r="AY126" s="4">
        <v>0.100863058668374</v>
      </c>
      <c r="AZ126" s="4">
        <v>5.8572476585982101E-2</v>
      </c>
      <c r="BA126" s="4">
        <v>9.6748554217661695E-2</v>
      </c>
      <c r="BB126" s="4">
        <v>0.104160544110748</v>
      </c>
      <c r="BC126" s="4">
        <v>8.7853967437139996E-2</v>
      </c>
      <c r="BD126" s="4">
        <v>9.1504283767025005E-2</v>
      </c>
      <c r="BE126" s="4">
        <v>7.1591299959621504E-2</v>
      </c>
      <c r="BF126" s="4">
        <v>0.11540039872251</v>
      </c>
      <c r="BG126" s="4">
        <v>6.3172219011190606E-2</v>
      </c>
      <c r="BH126" s="4">
        <v>7.4186162333838901E-2</v>
      </c>
      <c r="BI126" s="4">
        <v>4.9955191452851801E-2</v>
      </c>
      <c r="BJ126" s="4">
        <v>6.5129554494774297E-2</v>
      </c>
      <c r="BK126" s="4">
        <v>6.7703005985120801E-2</v>
      </c>
      <c r="BL126" s="4">
        <v>6.2041343644985703E-2</v>
      </c>
      <c r="BM126" s="4">
        <v>2.8578397544032699E-2</v>
      </c>
      <c r="BN126" s="4">
        <v>1.8246810677296998E-2</v>
      </c>
      <c r="BO126" s="4">
        <v>4.0976579043497899E-2</v>
      </c>
      <c r="BP126" s="4">
        <v>4.0750101836364898E-2</v>
      </c>
      <c r="BQ126" s="4">
        <v>4.7123305870663101E-2</v>
      </c>
      <c r="BR126" s="4">
        <v>3.3102085963337899E-2</v>
      </c>
      <c r="BS126" s="4">
        <v>7.6034262168562294E-2</v>
      </c>
      <c r="BT126" s="4">
        <v>0.121669604913858</v>
      </c>
      <c r="BU126" s="4">
        <v>2.1270626200098501E-2</v>
      </c>
      <c r="BV126" s="4">
        <v>9.9111338104462099E-2</v>
      </c>
      <c r="BW126" s="4">
        <v>0.100846190845676</v>
      </c>
      <c r="BX126" s="4">
        <v>9.7029468258342993E-2</v>
      </c>
      <c r="BY126" s="4">
        <v>7.4835796716546096E-2</v>
      </c>
      <c r="BZ126" s="4">
        <v>7.4597511144066195E-2</v>
      </c>
      <c r="CA126" s="4">
        <v>7.5121745798174905E-2</v>
      </c>
      <c r="CB126" s="4">
        <v>8.5570575553192293E-2</v>
      </c>
      <c r="CC126" s="4">
        <v>7.2135591558019893E-2</v>
      </c>
      <c r="CD126" s="4">
        <v>0.101692916889823</v>
      </c>
      <c r="CE126" s="4">
        <v>7.0968504735788196E-2</v>
      </c>
      <c r="CF126" s="4">
        <v>5.8736801798214201E-2</v>
      </c>
      <c r="CG126" s="4">
        <v>8.5646876511942804E-2</v>
      </c>
      <c r="CH126" s="4">
        <v>4.7934776541207799E-2</v>
      </c>
      <c r="CI126" s="4">
        <v>3.2523596692793803E-2</v>
      </c>
      <c r="CJ126" s="4">
        <v>6.6428605935095295E-2</v>
      </c>
      <c r="CK126" s="4">
        <v>1.5475048798221799E-2</v>
      </c>
      <c r="CL126" s="4">
        <v>7.4371447540897504E-3</v>
      </c>
      <c r="CM126" s="4">
        <v>2.5120749357086799E-2</v>
      </c>
      <c r="CN126" s="4">
        <v>7.4097130336840903E-3</v>
      </c>
      <c r="CO126" s="4">
        <v>0</v>
      </c>
      <c r="CP126" s="4">
        <v>1.63015675218218E-2</v>
      </c>
      <c r="CQ126" s="4">
        <v>2.7161106623255101E-2</v>
      </c>
      <c r="CR126" s="4">
        <v>2.29458035117764E-2</v>
      </c>
      <c r="CS126" s="4">
        <v>3.2219583479278099E-2</v>
      </c>
      <c r="CT126" s="1">
        <f>Table1[[#This Row],[Female %]]*Table1[[#This Row],[NWS_pin]]</f>
        <v>0</v>
      </c>
      <c r="CU126" s="1">
        <f>Table1[[#This Row],[Male %]]*Table1[[#This Row],[NWS_pin]]</f>
        <v>0</v>
      </c>
      <c r="CV126" s="1">
        <f>Table1[[#This Row],[Female% (0-2)22]]+Table1[[#This Row],[Male%(0-2)3]]</f>
        <v>0</v>
      </c>
      <c r="CW126" s="1">
        <f>$CT126*Table1[[#This Row],[Female% (0-2)]]</f>
        <v>0</v>
      </c>
      <c r="CX126" s="1">
        <f>$CU126*Table1[[#This Row],[Male%(0-2)]]</f>
        <v>0</v>
      </c>
      <c r="CY126" s="1">
        <f>Table1[[#This Row],[Female%  (3-5)5]]+Table1[[#This Row],[Male% (3-5)6]]</f>
        <v>0</v>
      </c>
      <c r="CZ126" s="1">
        <f>$AF126*Table1[[#This Row],[Female%  (3-5)]]</f>
        <v>0</v>
      </c>
      <c r="DA126" s="1">
        <f>$CU126*Table1[[#This Row],[Male% (3-5)]]</f>
        <v>0</v>
      </c>
      <c r="DB126" s="1">
        <f>Table1[[#This Row],[Female% (6-8)8]]+Table1[[#This Row],[Male%(6-8)9]]</f>
        <v>0</v>
      </c>
      <c r="DC126" s="1">
        <f>$CT126*Table1[[#This Row],[Female% (6-8)]]</f>
        <v>0</v>
      </c>
      <c r="DD126" s="1">
        <f>$CU126*Table1[[#This Row],[Male%(6-8)]]</f>
        <v>0</v>
      </c>
      <c r="DE126" s="1">
        <f>Table1[[#This Row],[Female% (9 - 11)11]]+Table1[[#This Row],[Male% (9 - 11)12]]</f>
        <v>0</v>
      </c>
      <c r="DF126" s="1">
        <f>$CT126*Table1[[#This Row],[Female% (9 - 11)]]</f>
        <v>0</v>
      </c>
      <c r="DG126" s="1">
        <f>$CU126*Table1[[#This Row],[Male% (9 - 11)]]</f>
        <v>0</v>
      </c>
      <c r="DH126" s="1">
        <f>Table1[[#This Row],[Female% (12-14)14]]+Table1[[#This Row],[Male%(12-14)15]]</f>
        <v>0</v>
      </c>
      <c r="DI126" s="1">
        <f>$CT126*Table1[[#This Row],[Female% (12-14)]]</f>
        <v>0</v>
      </c>
      <c r="DJ126" s="1">
        <f>$CU126*Table1[[#This Row],[Male%(12-14)]]</f>
        <v>0</v>
      </c>
      <c r="DK126" s="1">
        <f>Table1[[#This Row],[Female% (15-17)17]]+Table1[[#This Row],[Male%(15-17)18]]</f>
        <v>0</v>
      </c>
      <c r="DL126" s="1">
        <f>$CT126*Table1[[#This Row],[Female% (15-17)]]</f>
        <v>0</v>
      </c>
      <c r="DM126" s="1">
        <f>$CU126*Table1[[#This Row],[Male%(15-17)]]</f>
        <v>0</v>
      </c>
      <c r="DN126" s="1">
        <f>$AF126*Table1[[#This Row],[Total% (18-19)]]</f>
        <v>0</v>
      </c>
      <c r="DO126" s="1">
        <f>$CT126*Table1[[#This Row],[Female% (18-19)]]</f>
        <v>0</v>
      </c>
      <c r="DP126" s="1">
        <f>$CU126*Table1[[#This Row],[Male%(18-19)]]</f>
        <v>0</v>
      </c>
      <c r="DQ126" s="1">
        <f>$AF126*Table1[[#This Row],[Total% (20-24)]]</f>
        <v>0</v>
      </c>
      <c r="DR126" s="1">
        <f>$CT126*Table1[[#This Row],[Female% (20-24)]]</f>
        <v>0</v>
      </c>
      <c r="DS126" s="1">
        <f>$CU126*Table1[[#This Row],[Male% (20-24)]]</f>
        <v>0</v>
      </c>
      <c r="DT126" s="1">
        <f>$AF126*Table1[[#This Row],[Total% (25-29)]]</f>
        <v>0</v>
      </c>
      <c r="DU126" s="1">
        <f>$CT126*Table1[[#This Row],[Female% (25-29)]]</f>
        <v>0</v>
      </c>
      <c r="DV126" s="1">
        <f>$CU126*Table1[[#This Row],[Male% (25-29)]]</f>
        <v>0</v>
      </c>
      <c r="DW126" s="1">
        <f>$AF126*Table1[[#This Row],[Total%   (30-34)]]</f>
        <v>0</v>
      </c>
      <c r="DX126" s="1">
        <f>$CT126*Table1[[#This Row],[Female%   (30-34)]]</f>
        <v>0</v>
      </c>
      <c r="DY126" s="1">
        <f>$CU126*Table1[[#This Row],[Male%  (30-34)]]</f>
        <v>0</v>
      </c>
      <c r="DZ126" s="1">
        <f>$AF126*Table1[[#This Row],[Total% (35-39)]]</f>
        <v>0</v>
      </c>
      <c r="EA126" s="1">
        <f>$CT126*Table1[[#This Row],[Female% (35-39)]]</f>
        <v>0</v>
      </c>
      <c r="EB126" s="1">
        <f>$CU126*Table1[[#This Row],[Male% (35-39)]]</f>
        <v>0</v>
      </c>
      <c r="EC126" s="1">
        <f>$AF126*Table1[[#This Row],[Total% (40-44)]]</f>
        <v>0</v>
      </c>
      <c r="ED126" s="1">
        <f>$CT126*Table1[[#This Row],[Female% (40-44)]]</f>
        <v>0</v>
      </c>
      <c r="EE126" s="1">
        <f>$CU126*Table1[[#This Row],[Male%(55-59)]]</f>
        <v>0</v>
      </c>
      <c r="EF126" s="1">
        <f>$AF126*Table1[[#This Row],[Total% (45-49)]]</f>
        <v>0</v>
      </c>
      <c r="EG126" s="1">
        <f>$CT126*Table1[[#This Row],[Female% (45-49)]]</f>
        <v>0</v>
      </c>
      <c r="EH126" s="1">
        <f>$CU126*Table1[[#This Row],[Male% (45-49)]]</f>
        <v>0</v>
      </c>
      <c r="EI126" s="1">
        <f>$AF126*Table1[[#This Row],[Total% (50-54)]]</f>
        <v>0</v>
      </c>
      <c r="EJ126" s="1">
        <f>$CT126*Table1[[#This Row],[Female%(50-54)]]</f>
        <v>0</v>
      </c>
      <c r="EK126" s="1">
        <f>$CU126*Table1[[#This Row],[Male% (50-54)]]</f>
        <v>0</v>
      </c>
      <c r="EL126" s="1">
        <f>$AF126*Table1[[#This Row],[Total% (55-59)]]</f>
        <v>0</v>
      </c>
      <c r="EM126" s="1">
        <f>$CT126*Table1[[#This Row],[Female% (55-59)]]</f>
        <v>0</v>
      </c>
      <c r="EN126" s="1">
        <f>$CU126*Table1[[#This Row],[Male% (55-59)]]</f>
        <v>0</v>
      </c>
      <c r="EO126" s="1">
        <f>$AF126*Table1[[#This Row],[Total% (60-64)]]</f>
        <v>0</v>
      </c>
      <c r="EP126" s="1">
        <f>$CT126*Table1[[#This Row],[Female%(60-64)]]</f>
        <v>0</v>
      </c>
      <c r="EQ126" s="1">
        <f>$CU126*Table1[[#This Row],[Male%(60-64)]]</f>
        <v>0</v>
      </c>
      <c r="ER126" s="1">
        <f>$AF126*Table1[[#This Row],[Total% (&gt;=65)]]</f>
        <v>0</v>
      </c>
      <c r="ES126" s="1">
        <f>$CT126*Table1[[#This Row],[Female%(&gt;=65)]]</f>
        <v>0</v>
      </c>
      <c r="ET126" s="1">
        <f>$CU126*Table1[[#This Row],[Male% (&gt;=65)]]</f>
        <v>0</v>
      </c>
    </row>
    <row r="127" spans="1:150" x14ac:dyDescent="0.35">
      <c r="A127" t="s">
        <v>12</v>
      </c>
      <c r="B127" t="s">
        <v>13</v>
      </c>
      <c r="C127" t="s">
        <v>12</v>
      </c>
      <c r="D127" t="s">
        <v>14</v>
      </c>
      <c r="E127" t="s">
        <v>624</v>
      </c>
      <c r="F127" t="s">
        <v>625</v>
      </c>
      <c r="G127" t="s">
        <v>1143</v>
      </c>
      <c r="H127">
        <v>2</v>
      </c>
      <c r="I127" s="1">
        <v>0</v>
      </c>
      <c r="J127" s="1">
        <v>402</v>
      </c>
      <c r="K127" s="1">
        <v>0</v>
      </c>
      <c r="L127" s="1">
        <v>0</v>
      </c>
      <c r="M127" s="1">
        <v>0</v>
      </c>
      <c r="N127" s="1">
        <v>0</v>
      </c>
      <c r="O127" s="3">
        <v>0.63</v>
      </c>
      <c r="P127" s="3">
        <v>0</v>
      </c>
      <c r="Q127" s="3">
        <v>0.37</v>
      </c>
      <c r="R127" s="3">
        <v>0</v>
      </c>
      <c r="S127" s="3">
        <v>0</v>
      </c>
      <c r="T127" s="1">
        <v>402</v>
      </c>
      <c r="U127" s="1">
        <v>0</v>
      </c>
      <c r="V127" s="10">
        <f>Table1[[#This Row],[Pop NW+RATAA]]*Table1[[#This Row],[Perc_pop_Northern_Aleppo]]</f>
        <v>0</v>
      </c>
      <c r="W127" s="10">
        <f>Table1[[#This Row],[Pop NW+RATAA]]*Table1[[#This Row],[Perc_pop_Afrin District]]</f>
        <v>0</v>
      </c>
      <c r="X127" s="10">
        <f>Table1[[#This Row],[Pop NW+RATAA]]*Table1[[#This Row],[Perc_pop_Euphrates Shiled]]</f>
        <v>0</v>
      </c>
      <c r="Y127" s="10">
        <f>Table1[[#This Row],[Pop NW+RATAA]]*Table1[[#This Row],[Perc_Pop_Idleb_NSAG]]</f>
        <v>0</v>
      </c>
      <c r="Z127" s="3">
        <v>0</v>
      </c>
      <c r="AA127" s="3">
        <v>0</v>
      </c>
      <c r="AB127" s="3">
        <v>0</v>
      </c>
      <c r="AC127" s="3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f>Table1[[#This Row],[NWS_pin]]*Table1[[#This Row],[Perc_pop_Northern_Aleppo]]</f>
        <v>0</v>
      </c>
      <c r="AJ127" s="1">
        <f>Table1[[#This Row],[NWS_pin]]*Table1[[#This Row],[Perc_pop_Afrin District]]</f>
        <v>0</v>
      </c>
      <c r="AK127" s="1">
        <f>Table1[[#This Row],[NWS_pin]]*Table1[[#This Row],[Perc_pop_Euphrates Shiled]]</f>
        <v>0</v>
      </c>
      <c r="AL127" s="1">
        <f>Table1[[#This Row],[NWS_pin]]*Table1[[#This Row],[Perc_Pop_Idleb_NSAG]]</f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  <c r="BG127" s="4">
        <v>0</v>
      </c>
      <c r="BH127" s="4">
        <v>0</v>
      </c>
      <c r="BI127" s="4">
        <v>0</v>
      </c>
      <c r="BJ127" s="4">
        <v>0</v>
      </c>
      <c r="BK127" s="4">
        <v>0</v>
      </c>
      <c r="BL127" s="4">
        <v>0</v>
      </c>
      <c r="BM127" s="4">
        <v>0</v>
      </c>
      <c r="BN127" s="4">
        <v>0</v>
      </c>
      <c r="BO127" s="4">
        <v>0</v>
      </c>
      <c r="BP127" s="4">
        <v>0</v>
      </c>
      <c r="BQ127" s="4">
        <v>0</v>
      </c>
      <c r="BR127" s="4">
        <v>0</v>
      </c>
      <c r="BS127" s="4">
        <v>0</v>
      </c>
      <c r="BT127" s="4">
        <v>0</v>
      </c>
      <c r="BU127" s="4">
        <v>0</v>
      </c>
      <c r="BV127" s="4">
        <v>0</v>
      </c>
      <c r="BW127" s="4">
        <v>0</v>
      </c>
      <c r="BX127" s="4">
        <v>0</v>
      </c>
      <c r="BY127" s="4">
        <v>0</v>
      </c>
      <c r="BZ127" s="4">
        <v>0</v>
      </c>
      <c r="CA127" s="4">
        <v>0</v>
      </c>
      <c r="CB127" s="4">
        <v>0</v>
      </c>
      <c r="CC127" s="4">
        <v>0</v>
      </c>
      <c r="CD127" s="4">
        <v>0</v>
      </c>
      <c r="CE127" s="4">
        <v>0</v>
      </c>
      <c r="CF127" s="4">
        <v>0</v>
      </c>
      <c r="CG127" s="4">
        <v>0</v>
      </c>
      <c r="CH127" s="4">
        <v>0</v>
      </c>
      <c r="CI127" s="4">
        <v>0</v>
      </c>
      <c r="CJ127" s="4">
        <v>0</v>
      </c>
      <c r="CK127" s="4">
        <v>0</v>
      </c>
      <c r="CL127" s="4">
        <v>0</v>
      </c>
      <c r="CM127" s="4">
        <v>0</v>
      </c>
      <c r="CN127" s="4">
        <v>0</v>
      </c>
      <c r="CO127" s="4">
        <v>0</v>
      </c>
      <c r="CP127" s="4">
        <v>0</v>
      </c>
      <c r="CQ127" s="4">
        <v>0</v>
      </c>
      <c r="CR127" s="4">
        <v>0</v>
      </c>
      <c r="CS127" s="4">
        <v>0</v>
      </c>
      <c r="CT127" s="1">
        <f>Table1[[#This Row],[Female %]]*Table1[[#This Row],[NWS_pin]]</f>
        <v>0</v>
      </c>
      <c r="CU127" s="1">
        <f>Table1[[#This Row],[Male %]]*Table1[[#This Row],[NWS_pin]]</f>
        <v>0</v>
      </c>
      <c r="CV127" s="1">
        <f>Table1[[#This Row],[Female% (0-2)22]]+Table1[[#This Row],[Male%(0-2)3]]</f>
        <v>0</v>
      </c>
      <c r="CW127" s="1">
        <f>$CT127*Table1[[#This Row],[Female% (0-2)]]</f>
        <v>0</v>
      </c>
      <c r="CX127" s="1">
        <f>$CU127*Table1[[#This Row],[Male%(0-2)]]</f>
        <v>0</v>
      </c>
      <c r="CY127" s="1">
        <f>Table1[[#This Row],[Female%  (3-5)5]]+Table1[[#This Row],[Male% (3-5)6]]</f>
        <v>0</v>
      </c>
      <c r="CZ127" s="1">
        <f>$AF127*Table1[[#This Row],[Female%  (3-5)]]</f>
        <v>0</v>
      </c>
      <c r="DA127" s="1">
        <f>$CU127*Table1[[#This Row],[Male% (3-5)]]</f>
        <v>0</v>
      </c>
      <c r="DB127" s="1">
        <f>Table1[[#This Row],[Female% (6-8)8]]+Table1[[#This Row],[Male%(6-8)9]]</f>
        <v>0</v>
      </c>
      <c r="DC127" s="1">
        <f>$CT127*Table1[[#This Row],[Female% (6-8)]]</f>
        <v>0</v>
      </c>
      <c r="DD127" s="1">
        <f>$CU127*Table1[[#This Row],[Male%(6-8)]]</f>
        <v>0</v>
      </c>
      <c r="DE127" s="1">
        <f>Table1[[#This Row],[Female% (9 - 11)11]]+Table1[[#This Row],[Male% (9 - 11)12]]</f>
        <v>0</v>
      </c>
      <c r="DF127" s="1">
        <f>$CT127*Table1[[#This Row],[Female% (9 - 11)]]</f>
        <v>0</v>
      </c>
      <c r="DG127" s="1">
        <f>$CU127*Table1[[#This Row],[Male% (9 - 11)]]</f>
        <v>0</v>
      </c>
      <c r="DH127" s="1">
        <f>Table1[[#This Row],[Female% (12-14)14]]+Table1[[#This Row],[Male%(12-14)15]]</f>
        <v>0</v>
      </c>
      <c r="DI127" s="1">
        <f>$CT127*Table1[[#This Row],[Female% (12-14)]]</f>
        <v>0</v>
      </c>
      <c r="DJ127" s="1">
        <f>$CU127*Table1[[#This Row],[Male%(12-14)]]</f>
        <v>0</v>
      </c>
      <c r="DK127" s="1">
        <f>Table1[[#This Row],[Female% (15-17)17]]+Table1[[#This Row],[Male%(15-17)18]]</f>
        <v>0</v>
      </c>
      <c r="DL127" s="1">
        <f>$CT127*Table1[[#This Row],[Female% (15-17)]]</f>
        <v>0</v>
      </c>
      <c r="DM127" s="1">
        <f>$CU127*Table1[[#This Row],[Male%(15-17)]]</f>
        <v>0</v>
      </c>
      <c r="DN127" s="1">
        <f>$AF127*Table1[[#This Row],[Total% (18-19)]]</f>
        <v>0</v>
      </c>
      <c r="DO127" s="1">
        <f>$CT127*Table1[[#This Row],[Female% (18-19)]]</f>
        <v>0</v>
      </c>
      <c r="DP127" s="1">
        <f>$CU127*Table1[[#This Row],[Male%(18-19)]]</f>
        <v>0</v>
      </c>
      <c r="DQ127" s="1">
        <f>$AF127*Table1[[#This Row],[Total% (20-24)]]</f>
        <v>0</v>
      </c>
      <c r="DR127" s="1">
        <f>$CT127*Table1[[#This Row],[Female% (20-24)]]</f>
        <v>0</v>
      </c>
      <c r="DS127" s="1">
        <f>$CU127*Table1[[#This Row],[Male% (20-24)]]</f>
        <v>0</v>
      </c>
      <c r="DT127" s="1">
        <f>$AF127*Table1[[#This Row],[Total% (25-29)]]</f>
        <v>0</v>
      </c>
      <c r="DU127" s="1">
        <f>$CT127*Table1[[#This Row],[Female% (25-29)]]</f>
        <v>0</v>
      </c>
      <c r="DV127" s="1">
        <f>$CU127*Table1[[#This Row],[Male% (25-29)]]</f>
        <v>0</v>
      </c>
      <c r="DW127" s="1">
        <f>$AF127*Table1[[#This Row],[Total%   (30-34)]]</f>
        <v>0</v>
      </c>
      <c r="DX127" s="1">
        <f>$CT127*Table1[[#This Row],[Female%   (30-34)]]</f>
        <v>0</v>
      </c>
      <c r="DY127" s="1">
        <f>$CU127*Table1[[#This Row],[Male%  (30-34)]]</f>
        <v>0</v>
      </c>
      <c r="DZ127" s="1">
        <f>$AF127*Table1[[#This Row],[Total% (35-39)]]</f>
        <v>0</v>
      </c>
      <c r="EA127" s="1">
        <f>$CT127*Table1[[#This Row],[Female% (35-39)]]</f>
        <v>0</v>
      </c>
      <c r="EB127" s="1">
        <f>$CU127*Table1[[#This Row],[Male% (35-39)]]</f>
        <v>0</v>
      </c>
      <c r="EC127" s="1">
        <f>$AF127*Table1[[#This Row],[Total% (40-44)]]</f>
        <v>0</v>
      </c>
      <c r="ED127" s="1">
        <f>$CT127*Table1[[#This Row],[Female% (40-44)]]</f>
        <v>0</v>
      </c>
      <c r="EE127" s="1">
        <f>$CU127*Table1[[#This Row],[Male%(55-59)]]</f>
        <v>0</v>
      </c>
      <c r="EF127" s="1">
        <f>$AF127*Table1[[#This Row],[Total% (45-49)]]</f>
        <v>0</v>
      </c>
      <c r="EG127" s="1">
        <f>$CT127*Table1[[#This Row],[Female% (45-49)]]</f>
        <v>0</v>
      </c>
      <c r="EH127" s="1">
        <f>$CU127*Table1[[#This Row],[Male% (45-49)]]</f>
        <v>0</v>
      </c>
      <c r="EI127" s="1">
        <f>$AF127*Table1[[#This Row],[Total% (50-54)]]</f>
        <v>0</v>
      </c>
      <c r="EJ127" s="1">
        <f>$CT127*Table1[[#This Row],[Female%(50-54)]]</f>
        <v>0</v>
      </c>
      <c r="EK127" s="1">
        <f>$CU127*Table1[[#This Row],[Male% (50-54)]]</f>
        <v>0</v>
      </c>
      <c r="EL127" s="1">
        <f>$AF127*Table1[[#This Row],[Total% (55-59)]]</f>
        <v>0</v>
      </c>
      <c r="EM127" s="1">
        <f>$CT127*Table1[[#This Row],[Female% (55-59)]]</f>
        <v>0</v>
      </c>
      <c r="EN127" s="1">
        <f>$CU127*Table1[[#This Row],[Male% (55-59)]]</f>
        <v>0</v>
      </c>
      <c r="EO127" s="1">
        <f>$AF127*Table1[[#This Row],[Total% (60-64)]]</f>
        <v>0</v>
      </c>
      <c r="EP127" s="1">
        <f>$CT127*Table1[[#This Row],[Female%(60-64)]]</f>
        <v>0</v>
      </c>
      <c r="EQ127" s="1">
        <f>$CU127*Table1[[#This Row],[Male%(60-64)]]</f>
        <v>0</v>
      </c>
      <c r="ER127" s="1">
        <f>$AF127*Table1[[#This Row],[Total% (&gt;=65)]]</f>
        <v>0</v>
      </c>
      <c r="ES127" s="1">
        <f>$CT127*Table1[[#This Row],[Female%(&gt;=65)]]</f>
        <v>0</v>
      </c>
      <c r="ET127" s="1">
        <f>$CU127*Table1[[#This Row],[Male% (&gt;=65)]]</f>
        <v>0</v>
      </c>
    </row>
    <row r="128" spans="1:150" hidden="1" x14ac:dyDescent="0.35">
      <c r="A128" t="s">
        <v>12</v>
      </c>
      <c r="B128" t="s">
        <v>13</v>
      </c>
      <c r="C128" t="s">
        <v>12</v>
      </c>
      <c r="D128" t="s">
        <v>14</v>
      </c>
      <c r="E128" t="s">
        <v>15</v>
      </c>
      <c r="F128" t="s">
        <v>16</v>
      </c>
      <c r="H128">
        <v>2</v>
      </c>
      <c r="I128" s="1">
        <v>0</v>
      </c>
      <c r="J128" s="1">
        <v>13516</v>
      </c>
      <c r="K128" s="1">
        <v>134</v>
      </c>
      <c r="L128" s="1">
        <v>0</v>
      </c>
      <c r="M128" s="1">
        <v>0</v>
      </c>
      <c r="N128" s="1">
        <v>134</v>
      </c>
      <c r="O128" s="3">
        <v>1</v>
      </c>
      <c r="P128" s="3">
        <v>0</v>
      </c>
      <c r="Q128" s="3">
        <v>0</v>
      </c>
      <c r="R128" s="3">
        <v>0</v>
      </c>
      <c r="S128" s="3">
        <v>0</v>
      </c>
      <c r="T128" s="1">
        <v>13650</v>
      </c>
      <c r="U128" s="1">
        <v>0</v>
      </c>
      <c r="V128" s="10">
        <f>Table1[[#This Row],[Pop NW+RATAA]]*Table1[[#This Row],[Perc_pop_Northern_Aleppo]]</f>
        <v>0</v>
      </c>
      <c r="W128" s="10">
        <f>Table1[[#This Row],[Pop NW+RATAA]]*Table1[[#This Row],[Perc_pop_Afrin District]]</f>
        <v>0</v>
      </c>
      <c r="X128" s="10">
        <f>Table1[[#This Row],[Pop NW+RATAA]]*Table1[[#This Row],[Perc_pop_Euphrates Shiled]]</f>
        <v>0</v>
      </c>
      <c r="Y128" s="10">
        <f>Table1[[#This Row],[Pop NW+RATAA]]*Table1[[#This Row],[Perc_Pop_Idleb_NSAG]]</f>
        <v>0</v>
      </c>
      <c r="Z128" s="3">
        <v>0</v>
      </c>
      <c r="AA128" s="3">
        <v>0</v>
      </c>
      <c r="AB128" s="3">
        <v>0</v>
      </c>
      <c r="AC128" s="3">
        <v>0</v>
      </c>
      <c r="AD128" s="1">
        <v>134</v>
      </c>
      <c r="AE128" s="1">
        <v>0</v>
      </c>
      <c r="AF128" s="1">
        <v>0</v>
      </c>
      <c r="AG128" s="1">
        <v>0</v>
      </c>
      <c r="AH128" s="1">
        <v>0</v>
      </c>
      <c r="AI128" s="1">
        <f>Table1[[#This Row],[NWS_pin]]*Table1[[#This Row],[Perc_pop_Northern_Aleppo]]</f>
        <v>0</v>
      </c>
      <c r="AJ128" s="1">
        <f>Table1[[#This Row],[NWS_pin]]*Table1[[#This Row],[Perc_pop_Afrin District]]</f>
        <v>0</v>
      </c>
      <c r="AK128" s="1">
        <f>Table1[[#This Row],[NWS_pin]]*Table1[[#This Row],[Perc_pop_Euphrates Shiled]]</f>
        <v>0</v>
      </c>
      <c r="AL128" s="1">
        <f>Table1[[#This Row],[NWS_pin]]*Table1[[#This Row],[Perc_Pop_Idleb_NSAG]]</f>
        <v>0</v>
      </c>
      <c r="AM128" s="4">
        <v>0.52626532752913702</v>
      </c>
      <c r="AN128" s="4">
        <v>0.47373467247086298</v>
      </c>
      <c r="AO128" s="4">
        <v>8.6278053517479497E-2</v>
      </c>
      <c r="AP128" s="4">
        <v>0.40508917094792701</v>
      </c>
      <c r="AQ128" s="4">
        <v>0.553749995600328</v>
      </c>
      <c r="AR128" s="4">
        <v>0</v>
      </c>
      <c r="AS128" s="4">
        <v>0</v>
      </c>
      <c r="AT128" s="4">
        <v>4.1160833451744802E-2</v>
      </c>
      <c r="AU128" s="4">
        <v>2.61402920821911E-2</v>
      </c>
      <c r="AV128" s="4">
        <v>3.53695928910552E-2</v>
      </c>
      <c r="AW128" s="4">
        <v>1.5887588838603701E-2</v>
      </c>
      <c r="AX128" s="4">
        <v>7.0692072883897006E-2</v>
      </c>
      <c r="AY128" s="4">
        <v>7.1906131054912406E-2</v>
      </c>
      <c r="AZ128" s="4">
        <v>6.9343392371076507E-2</v>
      </c>
      <c r="BA128" s="4">
        <v>9.3653147029393993E-2</v>
      </c>
      <c r="BB128" s="4">
        <v>8.6318264098825204E-2</v>
      </c>
      <c r="BC128" s="4">
        <v>0.10180136752529</v>
      </c>
      <c r="BD128" s="4">
        <v>8.2921302742215597E-2</v>
      </c>
      <c r="BE128" s="4">
        <v>9.13329709686517E-2</v>
      </c>
      <c r="BF128" s="4">
        <v>7.3576896281183093E-2</v>
      </c>
      <c r="BG128" s="4">
        <v>7.4036296633624502E-2</v>
      </c>
      <c r="BH128" s="4">
        <v>7.6649200123552697E-2</v>
      </c>
      <c r="BI128" s="4">
        <v>7.1133658108652104E-2</v>
      </c>
      <c r="BJ128" s="4">
        <v>7.3935462723694001E-2</v>
      </c>
      <c r="BK128" s="4">
        <v>7.1857346119293397E-2</v>
      </c>
      <c r="BL128" s="4">
        <v>7.62440138579282E-2</v>
      </c>
      <c r="BM128" s="4">
        <v>2.0372983455898899E-2</v>
      </c>
      <c r="BN128" s="4">
        <v>5.5816695304785604E-3</v>
      </c>
      <c r="BO128" s="4">
        <v>3.6804450519408803E-2</v>
      </c>
      <c r="BP128" s="4">
        <v>4.5084640157187897E-2</v>
      </c>
      <c r="BQ128" s="4">
        <v>5.3639176664091501E-2</v>
      </c>
      <c r="BR128" s="4">
        <v>3.5581523289712903E-2</v>
      </c>
      <c r="BS128" s="4">
        <v>8.3297731087640797E-2</v>
      </c>
      <c r="BT128" s="4">
        <v>0.116573603971215</v>
      </c>
      <c r="BU128" s="4">
        <v>4.6332021884733898E-2</v>
      </c>
      <c r="BV128" s="4">
        <v>8.8027317444546296E-2</v>
      </c>
      <c r="BW128" s="4">
        <v>9.0563885152543003E-2</v>
      </c>
      <c r="BX128" s="4">
        <v>8.5209479289094794E-2</v>
      </c>
      <c r="BY128" s="4">
        <v>8.5975966569594303E-2</v>
      </c>
      <c r="BZ128" s="4">
        <v>9.6775351096742193E-2</v>
      </c>
      <c r="CA128" s="4">
        <v>7.3979078932787296E-2</v>
      </c>
      <c r="CB128" s="4">
        <v>8.85390128233597E-2</v>
      </c>
      <c r="CC128" s="4">
        <v>9.53271156454603E-2</v>
      </c>
      <c r="CD128" s="4">
        <v>8.0998202824501195E-2</v>
      </c>
      <c r="CE128" s="4">
        <v>6.9531403443805997E-2</v>
      </c>
      <c r="CF128" s="4">
        <v>4.1411989558808003E-2</v>
      </c>
      <c r="CG128" s="4">
        <v>0.10076887331471999</v>
      </c>
      <c r="CH128" s="4">
        <v>3.5477139570056403E-2</v>
      </c>
      <c r="CI128" s="4">
        <v>2.9242363305698901E-2</v>
      </c>
      <c r="CJ128" s="4">
        <v>4.2403266711478101E-2</v>
      </c>
      <c r="CK128" s="4">
        <v>3.0649232376659199E-2</v>
      </c>
      <c r="CL128" s="4">
        <v>1.43742388397922E-2</v>
      </c>
      <c r="CM128" s="4">
        <v>4.87288987003031E-2</v>
      </c>
      <c r="CN128" s="4">
        <v>7.7735952885500297E-3</v>
      </c>
      <c r="CO128" s="4">
        <v>0</v>
      </c>
      <c r="CP128" s="4">
        <v>1.6409175304828799E-2</v>
      </c>
      <c r="CQ128" s="4">
        <v>2.3892403687684301E-2</v>
      </c>
      <c r="CR128" s="4">
        <v>2.3077100978879401E-2</v>
      </c>
      <c r="CS128" s="4">
        <v>2.4798112245697699E-2</v>
      </c>
      <c r="CT128" s="1">
        <f>Table1[[#This Row],[Female %]]*Table1[[#This Row],[NWS_pin]]</f>
        <v>0</v>
      </c>
      <c r="CU128" s="1">
        <f>Table1[[#This Row],[Male %]]*Table1[[#This Row],[NWS_pin]]</f>
        <v>0</v>
      </c>
      <c r="CV128" s="1">
        <f>Table1[[#This Row],[Female% (0-2)22]]+Table1[[#This Row],[Male%(0-2)3]]</f>
        <v>0</v>
      </c>
      <c r="CW128" s="1">
        <f>$CT128*Table1[[#This Row],[Female% (0-2)]]</f>
        <v>0</v>
      </c>
      <c r="CX128" s="1">
        <f>$CU128*Table1[[#This Row],[Male%(0-2)]]</f>
        <v>0</v>
      </c>
      <c r="CY128" s="1">
        <f>Table1[[#This Row],[Female%  (3-5)5]]+Table1[[#This Row],[Male% (3-5)6]]</f>
        <v>0</v>
      </c>
      <c r="CZ128" s="1">
        <f>$AF128*Table1[[#This Row],[Female%  (3-5)]]</f>
        <v>0</v>
      </c>
      <c r="DA128" s="1">
        <f>$CU128*Table1[[#This Row],[Male% (3-5)]]</f>
        <v>0</v>
      </c>
      <c r="DB128" s="1">
        <f>Table1[[#This Row],[Female% (6-8)8]]+Table1[[#This Row],[Male%(6-8)9]]</f>
        <v>0</v>
      </c>
      <c r="DC128" s="1">
        <f>$CT128*Table1[[#This Row],[Female% (6-8)]]</f>
        <v>0</v>
      </c>
      <c r="DD128" s="1">
        <f>$CU128*Table1[[#This Row],[Male%(6-8)]]</f>
        <v>0</v>
      </c>
      <c r="DE128" s="1">
        <f>Table1[[#This Row],[Female% (9 - 11)11]]+Table1[[#This Row],[Male% (9 - 11)12]]</f>
        <v>0</v>
      </c>
      <c r="DF128" s="1">
        <f>$CT128*Table1[[#This Row],[Female% (9 - 11)]]</f>
        <v>0</v>
      </c>
      <c r="DG128" s="1">
        <f>$CU128*Table1[[#This Row],[Male% (9 - 11)]]</f>
        <v>0</v>
      </c>
      <c r="DH128" s="1">
        <f>Table1[[#This Row],[Female% (12-14)14]]+Table1[[#This Row],[Male%(12-14)15]]</f>
        <v>0</v>
      </c>
      <c r="DI128" s="1">
        <f>$CT128*Table1[[#This Row],[Female% (12-14)]]</f>
        <v>0</v>
      </c>
      <c r="DJ128" s="1">
        <f>$CU128*Table1[[#This Row],[Male%(12-14)]]</f>
        <v>0</v>
      </c>
      <c r="DK128" s="1">
        <f>Table1[[#This Row],[Female% (15-17)17]]+Table1[[#This Row],[Male%(15-17)18]]</f>
        <v>0</v>
      </c>
      <c r="DL128" s="1">
        <f>$CT128*Table1[[#This Row],[Female% (15-17)]]</f>
        <v>0</v>
      </c>
      <c r="DM128" s="1">
        <f>$CU128*Table1[[#This Row],[Male%(15-17)]]</f>
        <v>0</v>
      </c>
      <c r="DN128" s="1">
        <f>$AF128*Table1[[#This Row],[Total% (18-19)]]</f>
        <v>0</v>
      </c>
      <c r="DO128" s="1">
        <f>$CT128*Table1[[#This Row],[Female% (18-19)]]</f>
        <v>0</v>
      </c>
      <c r="DP128" s="1">
        <f>$CU128*Table1[[#This Row],[Male%(18-19)]]</f>
        <v>0</v>
      </c>
      <c r="DQ128" s="1">
        <f>$AF128*Table1[[#This Row],[Total% (20-24)]]</f>
        <v>0</v>
      </c>
      <c r="DR128" s="1">
        <f>$CT128*Table1[[#This Row],[Female% (20-24)]]</f>
        <v>0</v>
      </c>
      <c r="DS128" s="1">
        <f>$CU128*Table1[[#This Row],[Male% (20-24)]]</f>
        <v>0</v>
      </c>
      <c r="DT128" s="1">
        <f>$AF128*Table1[[#This Row],[Total% (25-29)]]</f>
        <v>0</v>
      </c>
      <c r="DU128" s="1">
        <f>$CT128*Table1[[#This Row],[Female% (25-29)]]</f>
        <v>0</v>
      </c>
      <c r="DV128" s="1">
        <f>$CU128*Table1[[#This Row],[Male% (25-29)]]</f>
        <v>0</v>
      </c>
      <c r="DW128" s="1">
        <f>$AF128*Table1[[#This Row],[Total%   (30-34)]]</f>
        <v>0</v>
      </c>
      <c r="DX128" s="1">
        <f>$CT128*Table1[[#This Row],[Female%   (30-34)]]</f>
        <v>0</v>
      </c>
      <c r="DY128" s="1">
        <f>$CU128*Table1[[#This Row],[Male%  (30-34)]]</f>
        <v>0</v>
      </c>
      <c r="DZ128" s="1">
        <f>$AF128*Table1[[#This Row],[Total% (35-39)]]</f>
        <v>0</v>
      </c>
      <c r="EA128" s="1">
        <f>$CT128*Table1[[#This Row],[Female% (35-39)]]</f>
        <v>0</v>
      </c>
      <c r="EB128" s="1">
        <f>$CU128*Table1[[#This Row],[Male% (35-39)]]</f>
        <v>0</v>
      </c>
      <c r="EC128" s="1">
        <f>$AF128*Table1[[#This Row],[Total% (40-44)]]</f>
        <v>0</v>
      </c>
      <c r="ED128" s="1">
        <f>$CT128*Table1[[#This Row],[Female% (40-44)]]</f>
        <v>0</v>
      </c>
      <c r="EE128" s="1">
        <f>$CU128*Table1[[#This Row],[Male%(55-59)]]</f>
        <v>0</v>
      </c>
      <c r="EF128" s="1">
        <f>$AF128*Table1[[#This Row],[Total% (45-49)]]</f>
        <v>0</v>
      </c>
      <c r="EG128" s="1">
        <f>$CT128*Table1[[#This Row],[Female% (45-49)]]</f>
        <v>0</v>
      </c>
      <c r="EH128" s="1">
        <f>$CU128*Table1[[#This Row],[Male% (45-49)]]</f>
        <v>0</v>
      </c>
      <c r="EI128" s="1">
        <f>$AF128*Table1[[#This Row],[Total% (50-54)]]</f>
        <v>0</v>
      </c>
      <c r="EJ128" s="1">
        <f>$CT128*Table1[[#This Row],[Female%(50-54)]]</f>
        <v>0</v>
      </c>
      <c r="EK128" s="1">
        <f>$CU128*Table1[[#This Row],[Male% (50-54)]]</f>
        <v>0</v>
      </c>
      <c r="EL128" s="1">
        <f>$AF128*Table1[[#This Row],[Total% (55-59)]]</f>
        <v>0</v>
      </c>
      <c r="EM128" s="1">
        <f>$CT128*Table1[[#This Row],[Female% (55-59)]]</f>
        <v>0</v>
      </c>
      <c r="EN128" s="1">
        <f>$CU128*Table1[[#This Row],[Male% (55-59)]]</f>
        <v>0</v>
      </c>
      <c r="EO128" s="1">
        <f>$AF128*Table1[[#This Row],[Total% (60-64)]]</f>
        <v>0</v>
      </c>
      <c r="EP128" s="1">
        <f>$CT128*Table1[[#This Row],[Female%(60-64)]]</f>
        <v>0</v>
      </c>
      <c r="EQ128" s="1">
        <f>$CU128*Table1[[#This Row],[Male%(60-64)]]</f>
        <v>0</v>
      </c>
      <c r="ER128" s="1">
        <f>$AF128*Table1[[#This Row],[Total% (&gt;=65)]]</f>
        <v>0</v>
      </c>
      <c r="ES128" s="1">
        <f>$CT128*Table1[[#This Row],[Female%(&gt;=65)]]</f>
        <v>0</v>
      </c>
      <c r="ET128" s="1">
        <f>$CU128*Table1[[#This Row],[Male% (&gt;=65)]]</f>
        <v>0</v>
      </c>
    </row>
    <row r="129" spans="1:150" hidden="1" x14ac:dyDescent="0.35">
      <c r="A129" t="s">
        <v>12</v>
      </c>
      <c r="B129" t="s">
        <v>13</v>
      </c>
      <c r="C129" t="s">
        <v>12</v>
      </c>
      <c r="D129" t="s">
        <v>14</v>
      </c>
      <c r="E129" t="s">
        <v>144</v>
      </c>
      <c r="F129" t="s">
        <v>145</v>
      </c>
      <c r="H129">
        <v>3</v>
      </c>
      <c r="I129" s="1">
        <v>0</v>
      </c>
      <c r="J129" s="1">
        <v>12057</v>
      </c>
      <c r="K129" s="1">
        <v>4130</v>
      </c>
      <c r="L129" s="1">
        <v>0</v>
      </c>
      <c r="M129" s="1">
        <v>0</v>
      </c>
      <c r="N129" s="1">
        <v>4130</v>
      </c>
      <c r="O129" s="3">
        <v>1</v>
      </c>
      <c r="P129" s="3">
        <v>0</v>
      </c>
      <c r="Q129" s="3">
        <v>0</v>
      </c>
      <c r="R129" s="3">
        <v>0</v>
      </c>
      <c r="S129" s="3">
        <v>0</v>
      </c>
      <c r="T129" s="1">
        <v>16187</v>
      </c>
      <c r="U129" s="1">
        <v>0</v>
      </c>
      <c r="V129" s="10">
        <f>Table1[[#This Row],[Pop NW+RATAA]]*Table1[[#This Row],[Perc_pop_Northern_Aleppo]]</f>
        <v>0</v>
      </c>
      <c r="W129" s="10">
        <f>Table1[[#This Row],[Pop NW+RATAA]]*Table1[[#This Row],[Perc_pop_Afrin District]]</f>
        <v>0</v>
      </c>
      <c r="X129" s="10">
        <f>Table1[[#This Row],[Pop NW+RATAA]]*Table1[[#This Row],[Perc_pop_Euphrates Shiled]]</f>
        <v>0</v>
      </c>
      <c r="Y129" s="10">
        <f>Table1[[#This Row],[Pop NW+RATAA]]*Table1[[#This Row],[Perc_Pop_Idleb_NSAG]]</f>
        <v>0</v>
      </c>
      <c r="Z129" s="3">
        <v>0</v>
      </c>
      <c r="AA129" s="3">
        <v>0</v>
      </c>
      <c r="AB129" s="3">
        <v>0</v>
      </c>
      <c r="AC129" s="3">
        <v>0</v>
      </c>
      <c r="AD129" s="1">
        <v>4130</v>
      </c>
      <c r="AE129" s="1">
        <v>0</v>
      </c>
      <c r="AF129" s="1">
        <v>0</v>
      </c>
      <c r="AG129" s="1">
        <v>0</v>
      </c>
      <c r="AH129" s="1">
        <v>0</v>
      </c>
      <c r="AI129" s="1">
        <f>Table1[[#This Row],[NWS_pin]]*Table1[[#This Row],[Perc_pop_Northern_Aleppo]]</f>
        <v>0</v>
      </c>
      <c r="AJ129" s="1">
        <f>Table1[[#This Row],[NWS_pin]]*Table1[[#This Row],[Perc_pop_Afrin District]]</f>
        <v>0</v>
      </c>
      <c r="AK129" s="1">
        <f>Table1[[#This Row],[NWS_pin]]*Table1[[#This Row],[Perc_pop_Euphrates Shiled]]</f>
        <v>0</v>
      </c>
      <c r="AL129" s="1">
        <f>Table1[[#This Row],[NWS_pin]]*Table1[[#This Row],[Perc_Pop_Idleb_NSAG]]</f>
        <v>0</v>
      </c>
      <c r="AM129" s="4">
        <v>0.52042635979102103</v>
      </c>
      <c r="AN129" s="4">
        <v>0.47957364020897902</v>
      </c>
      <c r="AO129" s="4">
        <v>0.22407961439375099</v>
      </c>
      <c r="AP129" s="4">
        <v>0.49764387089897799</v>
      </c>
      <c r="AQ129" s="4">
        <v>0.46804298948370898</v>
      </c>
      <c r="AR129" s="4">
        <v>1.6350527483668499E-3</v>
      </c>
      <c r="AS129" s="4">
        <v>0</v>
      </c>
      <c r="AT129" s="4">
        <v>3.2678086868946299E-2</v>
      </c>
      <c r="AU129" s="4">
        <v>1.9062543673895201E-2</v>
      </c>
      <c r="AV129" s="4">
        <v>2.0729525813694E-2</v>
      </c>
      <c r="AW129" s="4">
        <v>1.7253558829619601E-2</v>
      </c>
      <c r="AX129" s="4">
        <v>3.9029291526307297E-2</v>
      </c>
      <c r="AY129" s="4">
        <v>2.2760979290869999E-2</v>
      </c>
      <c r="AZ129" s="4">
        <v>5.6683428048370899E-2</v>
      </c>
      <c r="BA129" s="4">
        <v>4.2458481065197E-2</v>
      </c>
      <c r="BB129" s="4">
        <v>3.2988989785416603E-2</v>
      </c>
      <c r="BC129" s="4">
        <v>5.2734635679661301E-2</v>
      </c>
      <c r="BD129" s="4">
        <v>3.35788168763533E-2</v>
      </c>
      <c r="BE129" s="4">
        <v>2.6805373372008799E-2</v>
      </c>
      <c r="BF129" s="4">
        <v>4.0929259541800898E-2</v>
      </c>
      <c r="BG129" s="4">
        <v>6.0397853501888497E-2</v>
      </c>
      <c r="BH129" s="4">
        <v>5.3202830012950397E-2</v>
      </c>
      <c r="BI129" s="4">
        <v>6.8205788653051699E-2</v>
      </c>
      <c r="BJ129" s="4">
        <v>7.0019032888927302E-2</v>
      </c>
      <c r="BK129" s="4">
        <v>5.6526348297219503E-2</v>
      </c>
      <c r="BL129" s="4">
        <v>8.4661098542933994E-2</v>
      </c>
      <c r="BM129" s="4">
        <v>6.7796776882559001E-2</v>
      </c>
      <c r="BN129" s="4">
        <v>7.8773771334304604E-2</v>
      </c>
      <c r="BO129" s="4">
        <v>5.5884701687018902E-2</v>
      </c>
      <c r="BP129" s="4">
        <v>0.113051000852276</v>
      </c>
      <c r="BQ129" s="4">
        <v>0.12043377210544</v>
      </c>
      <c r="BR129" s="4">
        <v>0.105039324550011</v>
      </c>
      <c r="BS129" s="4">
        <v>5.2946452759292599E-2</v>
      </c>
      <c r="BT129" s="4">
        <v>8.1994958480042401E-2</v>
      </c>
      <c r="BU129" s="4">
        <v>2.1423435599653099E-2</v>
      </c>
      <c r="BV129" s="4">
        <v>8.1335698142154897E-2</v>
      </c>
      <c r="BW129" s="4">
        <v>0.133690185975714</v>
      </c>
      <c r="BX129" s="4">
        <v>2.45213671666882E-2</v>
      </c>
      <c r="BY129" s="4">
        <v>7.1467124169131299E-2</v>
      </c>
      <c r="BZ129" s="4">
        <v>6.0007349188318702E-2</v>
      </c>
      <c r="CA129" s="4">
        <v>8.3903105793746199E-2</v>
      </c>
      <c r="CB129" s="4">
        <v>7.2108419511907398E-2</v>
      </c>
      <c r="CC129" s="4">
        <v>8.4471108065676995E-2</v>
      </c>
      <c r="CD129" s="4">
        <v>5.8692609171571E-2</v>
      </c>
      <c r="CE129" s="4">
        <v>6.8136487665438797E-2</v>
      </c>
      <c r="CF129" s="4">
        <v>5.8209735121083302E-2</v>
      </c>
      <c r="CG129" s="4">
        <v>7.8908855573220402E-2</v>
      </c>
      <c r="CH129" s="4">
        <v>5.9503512869408998E-2</v>
      </c>
      <c r="CI129" s="4">
        <v>5.8743036093257199E-2</v>
      </c>
      <c r="CJ129" s="4">
        <v>6.0328771238792801E-2</v>
      </c>
      <c r="CK129" s="4">
        <v>4.8840607477209003E-2</v>
      </c>
      <c r="CL129" s="4">
        <v>3.8346530823942702E-2</v>
      </c>
      <c r="CM129" s="4">
        <v>6.0228627280898499E-2</v>
      </c>
      <c r="CN129" s="4">
        <v>3.65889385047743E-2</v>
      </c>
      <c r="CO129" s="4">
        <v>2.4416825576160799E-2</v>
      </c>
      <c r="CP129" s="4">
        <v>4.9797938940334498E-2</v>
      </c>
      <c r="CQ129" s="4">
        <v>6.36789616332787E-2</v>
      </c>
      <c r="CR129" s="4">
        <v>4.7898680663900503E-2</v>
      </c>
      <c r="CS129" s="4">
        <v>8.0803493702627502E-2</v>
      </c>
      <c r="CT129" s="1">
        <f>Table1[[#This Row],[Female %]]*Table1[[#This Row],[NWS_pin]]</f>
        <v>0</v>
      </c>
      <c r="CU129" s="1">
        <f>Table1[[#This Row],[Male %]]*Table1[[#This Row],[NWS_pin]]</f>
        <v>0</v>
      </c>
      <c r="CV129" s="1">
        <f>Table1[[#This Row],[Female% (0-2)22]]+Table1[[#This Row],[Male%(0-2)3]]</f>
        <v>0</v>
      </c>
      <c r="CW129" s="1">
        <f>$CT129*Table1[[#This Row],[Female% (0-2)]]</f>
        <v>0</v>
      </c>
      <c r="CX129" s="1">
        <f>$CU129*Table1[[#This Row],[Male%(0-2)]]</f>
        <v>0</v>
      </c>
      <c r="CY129" s="1">
        <f>Table1[[#This Row],[Female%  (3-5)5]]+Table1[[#This Row],[Male% (3-5)6]]</f>
        <v>0</v>
      </c>
      <c r="CZ129" s="1">
        <f>$AF129*Table1[[#This Row],[Female%  (3-5)]]</f>
        <v>0</v>
      </c>
      <c r="DA129" s="1">
        <f>$CU129*Table1[[#This Row],[Male% (3-5)]]</f>
        <v>0</v>
      </c>
      <c r="DB129" s="1">
        <f>Table1[[#This Row],[Female% (6-8)8]]+Table1[[#This Row],[Male%(6-8)9]]</f>
        <v>0</v>
      </c>
      <c r="DC129" s="1">
        <f>$CT129*Table1[[#This Row],[Female% (6-8)]]</f>
        <v>0</v>
      </c>
      <c r="DD129" s="1">
        <f>$CU129*Table1[[#This Row],[Male%(6-8)]]</f>
        <v>0</v>
      </c>
      <c r="DE129" s="1">
        <f>Table1[[#This Row],[Female% (9 - 11)11]]+Table1[[#This Row],[Male% (9 - 11)12]]</f>
        <v>0</v>
      </c>
      <c r="DF129" s="1">
        <f>$CT129*Table1[[#This Row],[Female% (9 - 11)]]</f>
        <v>0</v>
      </c>
      <c r="DG129" s="1">
        <f>$CU129*Table1[[#This Row],[Male% (9 - 11)]]</f>
        <v>0</v>
      </c>
      <c r="DH129" s="1">
        <f>Table1[[#This Row],[Female% (12-14)14]]+Table1[[#This Row],[Male%(12-14)15]]</f>
        <v>0</v>
      </c>
      <c r="DI129" s="1">
        <f>$CT129*Table1[[#This Row],[Female% (12-14)]]</f>
        <v>0</v>
      </c>
      <c r="DJ129" s="1">
        <f>$CU129*Table1[[#This Row],[Male%(12-14)]]</f>
        <v>0</v>
      </c>
      <c r="DK129" s="1">
        <f>Table1[[#This Row],[Female% (15-17)17]]+Table1[[#This Row],[Male%(15-17)18]]</f>
        <v>0</v>
      </c>
      <c r="DL129" s="1">
        <f>$CT129*Table1[[#This Row],[Female% (15-17)]]</f>
        <v>0</v>
      </c>
      <c r="DM129" s="1">
        <f>$CU129*Table1[[#This Row],[Male%(15-17)]]</f>
        <v>0</v>
      </c>
      <c r="DN129" s="1">
        <f>$AF129*Table1[[#This Row],[Total% (18-19)]]</f>
        <v>0</v>
      </c>
      <c r="DO129" s="1">
        <f>$CT129*Table1[[#This Row],[Female% (18-19)]]</f>
        <v>0</v>
      </c>
      <c r="DP129" s="1">
        <f>$CU129*Table1[[#This Row],[Male%(18-19)]]</f>
        <v>0</v>
      </c>
      <c r="DQ129" s="1">
        <f>$AF129*Table1[[#This Row],[Total% (20-24)]]</f>
        <v>0</v>
      </c>
      <c r="DR129" s="1">
        <f>$CT129*Table1[[#This Row],[Female% (20-24)]]</f>
        <v>0</v>
      </c>
      <c r="DS129" s="1">
        <f>$CU129*Table1[[#This Row],[Male% (20-24)]]</f>
        <v>0</v>
      </c>
      <c r="DT129" s="1">
        <f>$AF129*Table1[[#This Row],[Total% (25-29)]]</f>
        <v>0</v>
      </c>
      <c r="DU129" s="1">
        <f>$CT129*Table1[[#This Row],[Female% (25-29)]]</f>
        <v>0</v>
      </c>
      <c r="DV129" s="1">
        <f>$CU129*Table1[[#This Row],[Male% (25-29)]]</f>
        <v>0</v>
      </c>
      <c r="DW129" s="1">
        <f>$AF129*Table1[[#This Row],[Total%   (30-34)]]</f>
        <v>0</v>
      </c>
      <c r="DX129" s="1">
        <f>$CT129*Table1[[#This Row],[Female%   (30-34)]]</f>
        <v>0</v>
      </c>
      <c r="DY129" s="1">
        <f>$CU129*Table1[[#This Row],[Male%  (30-34)]]</f>
        <v>0</v>
      </c>
      <c r="DZ129" s="1">
        <f>$AF129*Table1[[#This Row],[Total% (35-39)]]</f>
        <v>0</v>
      </c>
      <c r="EA129" s="1">
        <f>$CT129*Table1[[#This Row],[Female% (35-39)]]</f>
        <v>0</v>
      </c>
      <c r="EB129" s="1">
        <f>$CU129*Table1[[#This Row],[Male% (35-39)]]</f>
        <v>0</v>
      </c>
      <c r="EC129" s="1">
        <f>$AF129*Table1[[#This Row],[Total% (40-44)]]</f>
        <v>0</v>
      </c>
      <c r="ED129" s="1">
        <f>$CT129*Table1[[#This Row],[Female% (40-44)]]</f>
        <v>0</v>
      </c>
      <c r="EE129" s="1">
        <f>$CU129*Table1[[#This Row],[Male%(55-59)]]</f>
        <v>0</v>
      </c>
      <c r="EF129" s="1">
        <f>$AF129*Table1[[#This Row],[Total% (45-49)]]</f>
        <v>0</v>
      </c>
      <c r="EG129" s="1">
        <f>$CT129*Table1[[#This Row],[Female% (45-49)]]</f>
        <v>0</v>
      </c>
      <c r="EH129" s="1">
        <f>$CU129*Table1[[#This Row],[Male% (45-49)]]</f>
        <v>0</v>
      </c>
      <c r="EI129" s="1">
        <f>$AF129*Table1[[#This Row],[Total% (50-54)]]</f>
        <v>0</v>
      </c>
      <c r="EJ129" s="1">
        <f>$CT129*Table1[[#This Row],[Female%(50-54)]]</f>
        <v>0</v>
      </c>
      <c r="EK129" s="1">
        <f>$CU129*Table1[[#This Row],[Male% (50-54)]]</f>
        <v>0</v>
      </c>
      <c r="EL129" s="1">
        <f>$AF129*Table1[[#This Row],[Total% (55-59)]]</f>
        <v>0</v>
      </c>
      <c r="EM129" s="1">
        <f>$CT129*Table1[[#This Row],[Female% (55-59)]]</f>
        <v>0</v>
      </c>
      <c r="EN129" s="1">
        <f>$CU129*Table1[[#This Row],[Male% (55-59)]]</f>
        <v>0</v>
      </c>
      <c r="EO129" s="1">
        <f>$AF129*Table1[[#This Row],[Total% (60-64)]]</f>
        <v>0</v>
      </c>
      <c r="EP129" s="1">
        <f>$CT129*Table1[[#This Row],[Female%(60-64)]]</f>
        <v>0</v>
      </c>
      <c r="EQ129" s="1">
        <f>$CU129*Table1[[#This Row],[Male%(60-64)]]</f>
        <v>0</v>
      </c>
      <c r="ER129" s="1">
        <f>$AF129*Table1[[#This Row],[Total% (&gt;=65)]]</f>
        <v>0</v>
      </c>
      <c r="ES129" s="1">
        <f>$CT129*Table1[[#This Row],[Female%(&gt;=65)]]</f>
        <v>0</v>
      </c>
      <c r="ET129" s="1">
        <f>$CU129*Table1[[#This Row],[Male% (&gt;=65)]]</f>
        <v>0</v>
      </c>
    </row>
    <row r="130" spans="1:150" hidden="1" x14ac:dyDescent="0.35">
      <c r="A130" t="s">
        <v>12</v>
      </c>
      <c r="B130" t="s">
        <v>13</v>
      </c>
      <c r="C130" t="s">
        <v>12</v>
      </c>
      <c r="D130" t="s">
        <v>14</v>
      </c>
      <c r="E130" t="s">
        <v>604</v>
      </c>
      <c r="F130" t="s">
        <v>605</v>
      </c>
      <c r="H130">
        <v>2</v>
      </c>
      <c r="I130" s="1">
        <v>0</v>
      </c>
      <c r="J130" s="1">
        <v>2123</v>
      </c>
      <c r="K130" s="1">
        <v>236</v>
      </c>
      <c r="L130" s="1">
        <v>0</v>
      </c>
      <c r="M130" s="1">
        <v>0</v>
      </c>
      <c r="N130" s="1">
        <v>236</v>
      </c>
      <c r="O130" s="3">
        <v>1</v>
      </c>
      <c r="P130" s="3">
        <v>0</v>
      </c>
      <c r="Q130" s="3">
        <v>0</v>
      </c>
      <c r="R130" s="3">
        <v>0</v>
      </c>
      <c r="S130" s="3">
        <v>0</v>
      </c>
      <c r="T130" s="1">
        <v>2359</v>
      </c>
      <c r="U130" s="1">
        <v>0</v>
      </c>
      <c r="V130" s="10">
        <f>Table1[[#This Row],[Pop NW+RATAA]]*Table1[[#This Row],[Perc_pop_Northern_Aleppo]]</f>
        <v>0</v>
      </c>
      <c r="W130" s="10">
        <f>Table1[[#This Row],[Pop NW+RATAA]]*Table1[[#This Row],[Perc_pop_Afrin District]]</f>
        <v>0</v>
      </c>
      <c r="X130" s="10">
        <f>Table1[[#This Row],[Pop NW+RATAA]]*Table1[[#This Row],[Perc_pop_Euphrates Shiled]]</f>
        <v>0</v>
      </c>
      <c r="Y130" s="10">
        <f>Table1[[#This Row],[Pop NW+RATAA]]*Table1[[#This Row],[Perc_Pop_Idleb_NSAG]]</f>
        <v>0</v>
      </c>
      <c r="Z130" s="3">
        <v>0</v>
      </c>
      <c r="AA130" s="3">
        <v>0</v>
      </c>
      <c r="AB130" s="3">
        <v>0</v>
      </c>
      <c r="AC130" s="3">
        <v>0</v>
      </c>
      <c r="AD130" s="1">
        <v>236</v>
      </c>
      <c r="AE130" s="1">
        <v>0</v>
      </c>
      <c r="AF130" s="1">
        <v>0</v>
      </c>
      <c r="AG130" s="1">
        <v>0</v>
      </c>
      <c r="AH130" s="1">
        <v>0</v>
      </c>
      <c r="AI130" s="1">
        <f>Table1[[#This Row],[NWS_pin]]*Table1[[#This Row],[Perc_pop_Northern_Aleppo]]</f>
        <v>0</v>
      </c>
      <c r="AJ130" s="1">
        <f>Table1[[#This Row],[NWS_pin]]*Table1[[#This Row],[Perc_pop_Afrin District]]</f>
        <v>0</v>
      </c>
      <c r="AK130" s="1">
        <f>Table1[[#This Row],[NWS_pin]]*Table1[[#This Row],[Perc_pop_Euphrates Shiled]]</f>
        <v>0</v>
      </c>
      <c r="AL130" s="1">
        <f>Table1[[#This Row],[NWS_pin]]*Table1[[#This Row],[Perc_Pop_Idleb_NSAG]]</f>
        <v>0</v>
      </c>
      <c r="AM130" s="4">
        <v>0.54678784585950002</v>
      </c>
      <c r="AN130" s="4">
        <v>0.45321215414049998</v>
      </c>
      <c r="AO130" s="4">
        <v>0.105625327053898</v>
      </c>
      <c r="AP130" s="4">
        <v>0.40369925341858898</v>
      </c>
      <c r="AQ130" s="4">
        <v>0.54190331847754403</v>
      </c>
      <c r="AR130" s="4">
        <v>3.4433751910298098E-3</v>
      </c>
      <c r="AS130" s="4">
        <v>0</v>
      </c>
      <c r="AT130" s="4">
        <v>5.0954052912836702E-2</v>
      </c>
      <c r="AU130" s="4">
        <v>2.6969123942325299E-2</v>
      </c>
      <c r="AV130" s="4">
        <v>3.9399545207197198E-2</v>
      </c>
      <c r="AW130" s="4">
        <v>1.19721667679633E-2</v>
      </c>
      <c r="AX130" s="4">
        <v>6.13124187847141E-2</v>
      </c>
      <c r="AY130" s="4">
        <v>4.2694148524837799E-2</v>
      </c>
      <c r="AZ130" s="4">
        <v>8.3774843492485304E-2</v>
      </c>
      <c r="BA130" s="4">
        <v>7.98607843950635E-2</v>
      </c>
      <c r="BB130" s="4">
        <v>8.1226790247443698E-2</v>
      </c>
      <c r="BC130" s="4">
        <v>7.8212736365833299E-2</v>
      </c>
      <c r="BD130" s="4">
        <v>9.7863049401489904E-2</v>
      </c>
      <c r="BE130" s="4">
        <v>9.3473382501039703E-2</v>
      </c>
      <c r="BF130" s="4">
        <v>0.103159060301925</v>
      </c>
      <c r="BG130" s="4">
        <v>7.3379834090640098E-2</v>
      </c>
      <c r="BH130" s="4">
        <v>9.6053892962553997E-2</v>
      </c>
      <c r="BI130" s="4">
        <v>4.6024213341727301E-2</v>
      </c>
      <c r="BJ130" s="4">
        <v>6.6571661855720193E-2</v>
      </c>
      <c r="BK130" s="4">
        <v>6.7676604600262993E-2</v>
      </c>
      <c r="BL130" s="4">
        <v>6.5238579197704497E-2</v>
      </c>
      <c r="BM130" s="4">
        <v>3.0782469335907298E-2</v>
      </c>
      <c r="BN130" s="4">
        <v>2.06770821527517E-2</v>
      </c>
      <c r="BO130" s="4">
        <v>4.2974337623139597E-2</v>
      </c>
      <c r="BP130" s="4">
        <v>3.5558847167038797E-2</v>
      </c>
      <c r="BQ130" s="4">
        <v>4.55431184254615E-2</v>
      </c>
      <c r="BR130" s="4">
        <v>2.35131018709464E-2</v>
      </c>
      <c r="BS130" s="4">
        <v>8.2513381446170805E-2</v>
      </c>
      <c r="BT130" s="4">
        <v>0.124851680400348</v>
      </c>
      <c r="BU130" s="4">
        <v>3.14334025201565E-2</v>
      </c>
      <c r="BV130" s="4">
        <v>9.9392080504183106E-2</v>
      </c>
      <c r="BW130" s="4">
        <v>0.106450258444252</v>
      </c>
      <c r="BX130" s="4">
        <v>9.0876585329826204E-2</v>
      </c>
      <c r="BY130" s="4">
        <v>7.3868854239281898E-2</v>
      </c>
      <c r="BZ130" s="4">
        <v>8.4112150973816996E-2</v>
      </c>
      <c r="CA130" s="4">
        <v>6.1510601917920502E-2</v>
      </c>
      <c r="CB130" s="4">
        <v>8.7430394726946303E-2</v>
      </c>
      <c r="CC130" s="4">
        <v>8.0332439445126302E-2</v>
      </c>
      <c r="CD130" s="4">
        <v>9.5993880156664699E-2</v>
      </c>
      <c r="CE130" s="4">
        <v>6.9364894356471404E-2</v>
      </c>
      <c r="CF130" s="4">
        <v>4.0792111085771202E-2</v>
      </c>
      <c r="CG130" s="4">
        <v>0.103837161863122</v>
      </c>
      <c r="CH130" s="4">
        <v>3.64869736836336E-2</v>
      </c>
      <c r="CI130" s="4">
        <v>2.1186553713244301E-2</v>
      </c>
      <c r="CJ130" s="4">
        <v>5.49465043911029E-2</v>
      </c>
      <c r="CK130" s="4">
        <v>3.2199616001144002E-2</v>
      </c>
      <c r="CL130" s="4">
        <v>1.47381302301211E-2</v>
      </c>
      <c r="CM130" s="4">
        <v>5.3266412429741103E-2</v>
      </c>
      <c r="CN130" s="4">
        <v>7.2622864626069898E-3</v>
      </c>
      <c r="CO130" s="4">
        <v>5.3768987028983599E-3</v>
      </c>
      <c r="CP130" s="4">
        <v>9.5369543026520807E-3</v>
      </c>
      <c r="CQ130" s="4">
        <v>3.9183329606662501E-2</v>
      </c>
      <c r="CR130" s="4">
        <v>3.5415212382872797E-2</v>
      </c>
      <c r="CS130" s="4">
        <v>4.3729458127089102E-2</v>
      </c>
      <c r="CT130" s="1">
        <f>Table1[[#This Row],[Female %]]*Table1[[#This Row],[NWS_pin]]</f>
        <v>0</v>
      </c>
      <c r="CU130" s="1">
        <f>Table1[[#This Row],[Male %]]*Table1[[#This Row],[NWS_pin]]</f>
        <v>0</v>
      </c>
      <c r="CV130" s="1">
        <f>Table1[[#This Row],[Female% (0-2)22]]+Table1[[#This Row],[Male%(0-2)3]]</f>
        <v>0</v>
      </c>
      <c r="CW130" s="1">
        <f>$CT130*Table1[[#This Row],[Female% (0-2)]]</f>
        <v>0</v>
      </c>
      <c r="CX130" s="1">
        <f>$CU130*Table1[[#This Row],[Male%(0-2)]]</f>
        <v>0</v>
      </c>
      <c r="CY130" s="1">
        <f>Table1[[#This Row],[Female%  (3-5)5]]+Table1[[#This Row],[Male% (3-5)6]]</f>
        <v>0</v>
      </c>
      <c r="CZ130" s="1">
        <f>$AF130*Table1[[#This Row],[Female%  (3-5)]]</f>
        <v>0</v>
      </c>
      <c r="DA130" s="1">
        <f>$CU130*Table1[[#This Row],[Male% (3-5)]]</f>
        <v>0</v>
      </c>
      <c r="DB130" s="1">
        <f>Table1[[#This Row],[Female% (6-8)8]]+Table1[[#This Row],[Male%(6-8)9]]</f>
        <v>0</v>
      </c>
      <c r="DC130" s="1">
        <f>$CT130*Table1[[#This Row],[Female% (6-8)]]</f>
        <v>0</v>
      </c>
      <c r="DD130" s="1">
        <f>$CU130*Table1[[#This Row],[Male%(6-8)]]</f>
        <v>0</v>
      </c>
      <c r="DE130" s="1">
        <f>Table1[[#This Row],[Female% (9 - 11)11]]+Table1[[#This Row],[Male% (9 - 11)12]]</f>
        <v>0</v>
      </c>
      <c r="DF130" s="1">
        <f>$CT130*Table1[[#This Row],[Female% (9 - 11)]]</f>
        <v>0</v>
      </c>
      <c r="DG130" s="1">
        <f>$CU130*Table1[[#This Row],[Male% (9 - 11)]]</f>
        <v>0</v>
      </c>
      <c r="DH130" s="1">
        <f>Table1[[#This Row],[Female% (12-14)14]]+Table1[[#This Row],[Male%(12-14)15]]</f>
        <v>0</v>
      </c>
      <c r="DI130" s="1">
        <f>$CT130*Table1[[#This Row],[Female% (12-14)]]</f>
        <v>0</v>
      </c>
      <c r="DJ130" s="1">
        <f>$CU130*Table1[[#This Row],[Male%(12-14)]]</f>
        <v>0</v>
      </c>
      <c r="DK130" s="1">
        <f>Table1[[#This Row],[Female% (15-17)17]]+Table1[[#This Row],[Male%(15-17)18]]</f>
        <v>0</v>
      </c>
      <c r="DL130" s="1">
        <f>$CT130*Table1[[#This Row],[Female% (15-17)]]</f>
        <v>0</v>
      </c>
      <c r="DM130" s="1">
        <f>$CU130*Table1[[#This Row],[Male%(15-17)]]</f>
        <v>0</v>
      </c>
      <c r="DN130" s="1">
        <f>$AF130*Table1[[#This Row],[Total% (18-19)]]</f>
        <v>0</v>
      </c>
      <c r="DO130" s="1">
        <f>$CT130*Table1[[#This Row],[Female% (18-19)]]</f>
        <v>0</v>
      </c>
      <c r="DP130" s="1">
        <f>$CU130*Table1[[#This Row],[Male%(18-19)]]</f>
        <v>0</v>
      </c>
      <c r="DQ130" s="1">
        <f>$AF130*Table1[[#This Row],[Total% (20-24)]]</f>
        <v>0</v>
      </c>
      <c r="DR130" s="1">
        <f>$CT130*Table1[[#This Row],[Female% (20-24)]]</f>
        <v>0</v>
      </c>
      <c r="DS130" s="1">
        <f>$CU130*Table1[[#This Row],[Male% (20-24)]]</f>
        <v>0</v>
      </c>
      <c r="DT130" s="1">
        <f>$AF130*Table1[[#This Row],[Total% (25-29)]]</f>
        <v>0</v>
      </c>
      <c r="DU130" s="1">
        <f>$CT130*Table1[[#This Row],[Female% (25-29)]]</f>
        <v>0</v>
      </c>
      <c r="DV130" s="1">
        <f>$CU130*Table1[[#This Row],[Male% (25-29)]]</f>
        <v>0</v>
      </c>
      <c r="DW130" s="1">
        <f>$AF130*Table1[[#This Row],[Total%   (30-34)]]</f>
        <v>0</v>
      </c>
      <c r="DX130" s="1">
        <f>$CT130*Table1[[#This Row],[Female%   (30-34)]]</f>
        <v>0</v>
      </c>
      <c r="DY130" s="1">
        <f>$CU130*Table1[[#This Row],[Male%  (30-34)]]</f>
        <v>0</v>
      </c>
      <c r="DZ130" s="1">
        <f>$AF130*Table1[[#This Row],[Total% (35-39)]]</f>
        <v>0</v>
      </c>
      <c r="EA130" s="1">
        <f>$CT130*Table1[[#This Row],[Female% (35-39)]]</f>
        <v>0</v>
      </c>
      <c r="EB130" s="1">
        <f>$CU130*Table1[[#This Row],[Male% (35-39)]]</f>
        <v>0</v>
      </c>
      <c r="EC130" s="1">
        <f>$AF130*Table1[[#This Row],[Total% (40-44)]]</f>
        <v>0</v>
      </c>
      <c r="ED130" s="1">
        <f>$CT130*Table1[[#This Row],[Female% (40-44)]]</f>
        <v>0</v>
      </c>
      <c r="EE130" s="1">
        <f>$CU130*Table1[[#This Row],[Male%(55-59)]]</f>
        <v>0</v>
      </c>
      <c r="EF130" s="1">
        <f>$AF130*Table1[[#This Row],[Total% (45-49)]]</f>
        <v>0</v>
      </c>
      <c r="EG130" s="1">
        <f>$CT130*Table1[[#This Row],[Female% (45-49)]]</f>
        <v>0</v>
      </c>
      <c r="EH130" s="1">
        <f>$CU130*Table1[[#This Row],[Male% (45-49)]]</f>
        <v>0</v>
      </c>
      <c r="EI130" s="1">
        <f>$AF130*Table1[[#This Row],[Total% (50-54)]]</f>
        <v>0</v>
      </c>
      <c r="EJ130" s="1">
        <f>$CT130*Table1[[#This Row],[Female%(50-54)]]</f>
        <v>0</v>
      </c>
      <c r="EK130" s="1">
        <f>$CU130*Table1[[#This Row],[Male% (50-54)]]</f>
        <v>0</v>
      </c>
      <c r="EL130" s="1">
        <f>$AF130*Table1[[#This Row],[Total% (55-59)]]</f>
        <v>0</v>
      </c>
      <c r="EM130" s="1">
        <f>$CT130*Table1[[#This Row],[Female% (55-59)]]</f>
        <v>0</v>
      </c>
      <c r="EN130" s="1">
        <f>$CU130*Table1[[#This Row],[Male% (55-59)]]</f>
        <v>0</v>
      </c>
      <c r="EO130" s="1">
        <f>$AF130*Table1[[#This Row],[Total% (60-64)]]</f>
        <v>0</v>
      </c>
      <c r="EP130" s="1">
        <f>$CT130*Table1[[#This Row],[Female%(60-64)]]</f>
        <v>0</v>
      </c>
      <c r="EQ130" s="1">
        <f>$CU130*Table1[[#This Row],[Male%(60-64)]]</f>
        <v>0</v>
      </c>
      <c r="ER130" s="1">
        <f>$AF130*Table1[[#This Row],[Total% (&gt;=65)]]</f>
        <v>0</v>
      </c>
      <c r="ES130" s="1">
        <f>$CT130*Table1[[#This Row],[Female%(&gt;=65)]]</f>
        <v>0</v>
      </c>
      <c r="ET130" s="1">
        <f>$CU130*Table1[[#This Row],[Male% (&gt;=65)]]</f>
        <v>0</v>
      </c>
    </row>
    <row r="131" spans="1:150" hidden="1" x14ac:dyDescent="0.35">
      <c r="A131" t="s">
        <v>12</v>
      </c>
      <c r="B131" t="s">
        <v>13</v>
      </c>
      <c r="C131" t="s">
        <v>12</v>
      </c>
      <c r="D131" t="s">
        <v>14</v>
      </c>
      <c r="E131" t="s">
        <v>60</v>
      </c>
      <c r="F131" t="s">
        <v>61</v>
      </c>
      <c r="H131">
        <v>2</v>
      </c>
      <c r="I131" s="1">
        <v>0</v>
      </c>
      <c r="J131" s="1">
        <v>16708</v>
      </c>
      <c r="K131" s="1">
        <v>1228</v>
      </c>
      <c r="L131" s="1">
        <v>0</v>
      </c>
      <c r="M131" s="1">
        <v>0</v>
      </c>
      <c r="N131" s="1">
        <v>1228</v>
      </c>
      <c r="O131" s="3">
        <v>1</v>
      </c>
      <c r="P131" s="3">
        <v>0</v>
      </c>
      <c r="Q131" s="3">
        <v>0</v>
      </c>
      <c r="R131" s="3">
        <v>0</v>
      </c>
      <c r="S131" s="3">
        <v>0</v>
      </c>
      <c r="T131" s="1">
        <v>17936</v>
      </c>
      <c r="U131" s="1">
        <v>0</v>
      </c>
      <c r="V131" s="10">
        <f>Table1[[#This Row],[Pop NW+RATAA]]*Table1[[#This Row],[Perc_pop_Northern_Aleppo]]</f>
        <v>0</v>
      </c>
      <c r="W131" s="10">
        <f>Table1[[#This Row],[Pop NW+RATAA]]*Table1[[#This Row],[Perc_pop_Afrin District]]</f>
        <v>0</v>
      </c>
      <c r="X131" s="10">
        <f>Table1[[#This Row],[Pop NW+RATAA]]*Table1[[#This Row],[Perc_pop_Euphrates Shiled]]</f>
        <v>0</v>
      </c>
      <c r="Y131" s="10">
        <f>Table1[[#This Row],[Pop NW+RATAA]]*Table1[[#This Row],[Perc_Pop_Idleb_NSAG]]</f>
        <v>0</v>
      </c>
      <c r="Z131" s="3">
        <v>0</v>
      </c>
      <c r="AA131" s="3">
        <v>0</v>
      </c>
      <c r="AB131" s="3">
        <v>0</v>
      </c>
      <c r="AC131" s="3">
        <v>0</v>
      </c>
      <c r="AD131" s="1">
        <v>1228</v>
      </c>
      <c r="AE131" s="1">
        <v>0</v>
      </c>
      <c r="AF131" s="1">
        <v>0</v>
      </c>
      <c r="AG131" s="1">
        <v>0</v>
      </c>
      <c r="AH131" s="1">
        <v>0</v>
      </c>
      <c r="AI131" s="1">
        <f>Table1[[#This Row],[NWS_pin]]*Table1[[#This Row],[Perc_pop_Northern_Aleppo]]</f>
        <v>0</v>
      </c>
      <c r="AJ131" s="1">
        <f>Table1[[#This Row],[NWS_pin]]*Table1[[#This Row],[Perc_pop_Afrin District]]</f>
        <v>0</v>
      </c>
      <c r="AK131" s="1">
        <f>Table1[[#This Row],[NWS_pin]]*Table1[[#This Row],[Perc_pop_Euphrates Shiled]]</f>
        <v>0</v>
      </c>
      <c r="AL131" s="1">
        <f>Table1[[#This Row],[NWS_pin]]*Table1[[#This Row],[Perc_Pop_Idleb_NSAG]]</f>
        <v>0</v>
      </c>
      <c r="AM131" s="4">
        <v>0.50896110925787197</v>
      </c>
      <c r="AN131" s="4">
        <v>0.49103889074212798</v>
      </c>
      <c r="AO131" s="4">
        <v>9.3088857545839204E-2</v>
      </c>
      <c r="AP131" s="4">
        <v>0.39191499298944898</v>
      </c>
      <c r="AQ131" s="4">
        <v>0.561689974432107</v>
      </c>
      <c r="AR131" s="4">
        <v>0</v>
      </c>
      <c r="AS131" s="4">
        <v>0</v>
      </c>
      <c r="AT131" s="4">
        <v>4.6395032578444302E-2</v>
      </c>
      <c r="AU131" s="4">
        <v>4.6378854299758902E-2</v>
      </c>
      <c r="AV131" s="4">
        <v>4.85675066546713E-2</v>
      </c>
      <c r="AW131" s="4">
        <v>4.4110319258364401E-2</v>
      </c>
      <c r="AX131" s="4">
        <v>6.38728828494282E-2</v>
      </c>
      <c r="AY131" s="4">
        <v>5.3621115016833802E-2</v>
      </c>
      <c r="AZ131" s="4">
        <v>7.4498825572713506E-2</v>
      </c>
      <c r="BA131" s="4">
        <v>8.9869737413535905E-2</v>
      </c>
      <c r="BB131" s="4">
        <v>9.2021118726755002E-2</v>
      </c>
      <c r="BC131" s="4">
        <v>8.7639833753649102E-2</v>
      </c>
      <c r="BD131" s="4">
        <v>8.0448574719444096E-2</v>
      </c>
      <c r="BE131" s="4">
        <v>8.5957716172474205E-2</v>
      </c>
      <c r="BF131" s="4">
        <v>7.4738357468107794E-2</v>
      </c>
      <c r="BG131" s="4">
        <v>7.2970100263719403E-2</v>
      </c>
      <c r="BH131" s="4">
        <v>7.6282164244397196E-2</v>
      </c>
      <c r="BI131" s="4">
        <v>6.95371506759766E-2</v>
      </c>
      <c r="BJ131" s="4">
        <v>5.8737750265922303E-2</v>
      </c>
      <c r="BK131" s="4">
        <v>3.7056316604680103E-2</v>
      </c>
      <c r="BL131" s="4">
        <v>8.1210525303860998E-2</v>
      </c>
      <c r="BM131" s="4">
        <v>2.5251210025113099E-2</v>
      </c>
      <c r="BN131" s="4">
        <v>2.3467184200682001E-2</v>
      </c>
      <c r="BO131" s="4">
        <v>2.7100350245299901E-2</v>
      </c>
      <c r="BP131" s="4">
        <v>3.84293118749253E-2</v>
      </c>
      <c r="BQ131" s="4">
        <v>4.1849071128465302E-2</v>
      </c>
      <c r="BR131" s="4">
        <v>3.4884736290604297E-2</v>
      </c>
      <c r="BS131" s="4">
        <v>8.7164686148752807E-2</v>
      </c>
      <c r="BT131" s="4">
        <v>0.137392682798641</v>
      </c>
      <c r="BU131" s="4">
        <v>3.5103439325529499E-2</v>
      </c>
      <c r="BV131" s="4">
        <v>9.4871122097670596E-2</v>
      </c>
      <c r="BW131" s="4">
        <v>9.7166315769947803E-2</v>
      </c>
      <c r="BX131" s="4">
        <v>9.24921571329234E-2</v>
      </c>
      <c r="BY131" s="4">
        <v>8.7066342105097505E-2</v>
      </c>
      <c r="BZ131" s="4">
        <v>9.26054313247201E-2</v>
      </c>
      <c r="CA131" s="4">
        <v>8.1325084036440898E-2</v>
      </c>
      <c r="CB131" s="4">
        <v>7.3639036448662806E-2</v>
      </c>
      <c r="CC131" s="4">
        <v>7.8852444065208097E-2</v>
      </c>
      <c r="CD131" s="4">
        <v>6.8235346896659999E-2</v>
      </c>
      <c r="CE131" s="4">
        <v>7.3318828242521103E-2</v>
      </c>
      <c r="CF131" s="4">
        <v>6.2790417273393406E-2</v>
      </c>
      <c r="CG131" s="4">
        <v>8.4231511181893606E-2</v>
      </c>
      <c r="CH131" s="4">
        <v>4.0434350236969799E-2</v>
      </c>
      <c r="CI131" s="4">
        <v>2.38215589707442E-2</v>
      </c>
      <c r="CJ131" s="4">
        <v>5.76534846683565E-2</v>
      </c>
      <c r="CK131" s="4">
        <v>3.0295472712281502E-2</v>
      </c>
      <c r="CL131" s="4">
        <v>2.22912164522641E-2</v>
      </c>
      <c r="CM131" s="4">
        <v>3.8591872899088997E-2</v>
      </c>
      <c r="CN131" s="4">
        <v>1.2777644904047701E-2</v>
      </c>
      <c r="CO131" s="4">
        <v>5.16761115078666E-3</v>
      </c>
      <c r="CP131" s="4">
        <v>2.06654340253856E-2</v>
      </c>
      <c r="CQ131" s="4">
        <v>2.4474095392148801E-2</v>
      </c>
      <c r="CR131" s="4">
        <v>2.1090129445335899E-2</v>
      </c>
      <c r="CS131" s="4">
        <v>2.7981571265145E-2</v>
      </c>
      <c r="CT131" s="1">
        <f>Table1[[#This Row],[Female %]]*Table1[[#This Row],[NWS_pin]]</f>
        <v>0</v>
      </c>
      <c r="CU131" s="1">
        <f>Table1[[#This Row],[Male %]]*Table1[[#This Row],[NWS_pin]]</f>
        <v>0</v>
      </c>
      <c r="CV131" s="1">
        <f>Table1[[#This Row],[Female% (0-2)22]]+Table1[[#This Row],[Male%(0-2)3]]</f>
        <v>0</v>
      </c>
      <c r="CW131" s="1">
        <f>$CT131*Table1[[#This Row],[Female% (0-2)]]</f>
        <v>0</v>
      </c>
      <c r="CX131" s="1">
        <f>$CU131*Table1[[#This Row],[Male%(0-2)]]</f>
        <v>0</v>
      </c>
      <c r="CY131" s="1">
        <f>Table1[[#This Row],[Female%  (3-5)5]]+Table1[[#This Row],[Male% (3-5)6]]</f>
        <v>0</v>
      </c>
      <c r="CZ131" s="1">
        <f>$AF131*Table1[[#This Row],[Female%  (3-5)]]</f>
        <v>0</v>
      </c>
      <c r="DA131" s="1">
        <f>$CU131*Table1[[#This Row],[Male% (3-5)]]</f>
        <v>0</v>
      </c>
      <c r="DB131" s="1">
        <f>Table1[[#This Row],[Female% (6-8)8]]+Table1[[#This Row],[Male%(6-8)9]]</f>
        <v>0</v>
      </c>
      <c r="DC131" s="1">
        <f>$CT131*Table1[[#This Row],[Female% (6-8)]]</f>
        <v>0</v>
      </c>
      <c r="DD131" s="1">
        <f>$CU131*Table1[[#This Row],[Male%(6-8)]]</f>
        <v>0</v>
      </c>
      <c r="DE131" s="1">
        <f>Table1[[#This Row],[Female% (9 - 11)11]]+Table1[[#This Row],[Male% (9 - 11)12]]</f>
        <v>0</v>
      </c>
      <c r="DF131" s="1">
        <f>$CT131*Table1[[#This Row],[Female% (9 - 11)]]</f>
        <v>0</v>
      </c>
      <c r="DG131" s="1">
        <f>$CU131*Table1[[#This Row],[Male% (9 - 11)]]</f>
        <v>0</v>
      </c>
      <c r="DH131" s="1">
        <f>Table1[[#This Row],[Female% (12-14)14]]+Table1[[#This Row],[Male%(12-14)15]]</f>
        <v>0</v>
      </c>
      <c r="DI131" s="1">
        <f>$CT131*Table1[[#This Row],[Female% (12-14)]]</f>
        <v>0</v>
      </c>
      <c r="DJ131" s="1">
        <f>$CU131*Table1[[#This Row],[Male%(12-14)]]</f>
        <v>0</v>
      </c>
      <c r="DK131" s="1">
        <f>Table1[[#This Row],[Female% (15-17)17]]+Table1[[#This Row],[Male%(15-17)18]]</f>
        <v>0</v>
      </c>
      <c r="DL131" s="1">
        <f>$CT131*Table1[[#This Row],[Female% (15-17)]]</f>
        <v>0</v>
      </c>
      <c r="DM131" s="1">
        <f>$CU131*Table1[[#This Row],[Male%(15-17)]]</f>
        <v>0</v>
      </c>
      <c r="DN131" s="1">
        <f>$AF131*Table1[[#This Row],[Total% (18-19)]]</f>
        <v>0</v>
      </c>
      <c r="DO131" s="1">
        <f>$CT131*Table1[[#This Row],[Female% (18-19)]]</f>
        <v>0</v>
      </c>
      <c r="DP131" s="1">
        <f>$CU131*Table1[[#This Row],[Male%(18-19)]]</f>
        <v>0</v>
      </c>
      <c r="DQ131" s="1">
        <f>$AF131*Table1[[#This Row],[Total% (20-24)]]</f>
        <v>0</v>
      </c>
      <c r="DR131" s="1">
        <f>$CT131*Table1[[#This Row],[Female% (20-24)]]</f>
        <v>0</v>
      </c>
      <c r="DS131" s="1">
        <f>$CU131*Table1[[#This Row],[Male% (20-24)]]</f>
        <v>0</v>
      </c>
      <c r="DT131" s="1">
        <f>$AF131*Table1[[#This Row],[Total% (25-29)]]</f>
        <v>0</v>
      </c>
      <c r="DU131" s="1">
        <f>$CT131*Table1[[#This Row],[Female% (25-29)]]</f>
        <v>0</v>
      </c>
      <c r="DV131" s="1">
        <f>$CU131*Table1[[#This Row],[Male% (25-29)]]</f>
        <v>0</v>
      </c>
      <c r="DW131" s="1">
        <f>$AF131*Table1[[#This Row],[Total%   (30-34)]]</f>
        <v>0</v>
      </c>
      <c r="DX131" s="1">
        <f>$CT131*Table1[[#This Row],[Female%   (30-34)]]</f>
        <v>0</v>
      </c>
      <c r="DY131" s="1">
        <f>$CU131*Table1[[#This Row],[Male%  (30-34)]]</f>
        <v>0</v>
      </c>
      <c r="DZ131" s="1">
        <f>$AF131*Table1[[#This Row],[Total% (35-39)]]</f>
        <v>0</v>
      </c>
      <c r="EA131" s="1">
        <f>$CT131*Table1[[#This Row],[Female% (35-39)]]</f>
        <v>0</v>
      </c>
      <c r="EB131" s="1">
        <f>$CU131*Table1[[#This Row],[Male% (35-39)]]</f>
        <v>0</v>
      </c>
      <c r="EC131" s="1">
        <f>$AF131*Table1[[#This Row],[Total% (40-44)]]</f>
        <v>0</v>
      </c>
      <c r="ED131" s="1">
        <f>$CT131*Table1[[#This Row],[Female% (40-44)]]</f>
        <v>0</v>
      </c>
      <c r="EE131" s="1">
        <f>$CU131*Table1[[#This Row],[Male%(55-59)]]</f>
        <v>0</v>
      </c>
      <c r="EF131" s="1">
        <f>$AF131*Table1[[#This Row],[Total% (45-49)]]</f>
        <v>0</v>
      </c>
      <c r="EG131" s="1">
        <f>$CT131*Table1[[#This Row],[Female% (45-49)]]</f>
        <v>0</v>
      </c>
      <c r="EH131" s="1">
        <f>$CU131*Table1[[#This Row],[Male% (45-49)]]</f>
        <v>0</v>
      </c>
      <c r="EI131" s="1">
        <f>$AF131*Table1[[#This Row],[Total% (50-54)]]</f>
        <v>0</v>
      </c>
      <c r="EJ131" s="1">
        <f>$CT131*Table1[[#This Row],[Female%(50-54)]]</f>
        <v>0</v>
      </c>
      <c r="EK131" s="1">
        <f>$CU131*Table1[[#This Row],[Male% (50-54)]]</f>
        <v>0</v>
      </c>
      <c r="EL131" s="1">
        <f>$AF131*Table1[[#This Row],[Total% (55-59)]]</f>
        <v>0</v>
      </c>
      <c r="EM131" s="1">
        <f>$CT131*Table1[[#This Row],[Female% (55-59)]]</f>
        <v>0</v>
      </c>
      <c r="EN131" s="1">
        <f>$CU131*Table1[[#This Row],[Male% (55-59)]]</f>
        <v>0</v>
      </c>
      <c r="EO131" s="1">
        <f>$AF131*Table1[[#This Row],[Total% (60-64)]]</f>
        <v>0</v>
      </c>
      <c r="EP131" s="1">
        <f>$CT131*Table1[[#This Row],[Female%(60-64)]]</f>
        <v>0</v>
      </c>
      <c r="EQ131" s="1">
        <f>$CU131*Table1[[#This Row],[Male%(60-64)]]</f>
        <v>0</v>
      </c>
      <c r="ER131" s="1">
        <f>$AF131*Table1[[#This Row],[Total% (&gt;=65)]]</f>
        <v>0</v>
      </c>
      <c r="ES131" s="1">
        <f>$CT131*Table1[[#This Row],[Female%(&gt;=65)]]</f>
        <v>0</v>
      </c>
      <c r="ET131" s="1">
        <f>$CU131*Table1[[#This Row],[Male% (&gt;=65)]]</f>
        <v>0</v>
      </c>
    </row>
    <row r="132" spans="1:150" hidden="1" x14ac:dyDescent="0.35">
      <c r="A132" t="s">
        <v>12</v>
      </c>
      <c r="B132" t="s">
        <v>13</v>
      </c>
      <c r="C132" t="s">
        <v>42</v>
      </c>
      <c r="D132" t="s">
        <v>43</v>
      </c>
      <c r="E132" t="s">
        <v>42</v>
      </c>
      <c r="F132" t="s">
        <v>116</v>
      </c>
      <c r="H132">
        <v>2</v>
      </c>
      <c r="I132" s="1">
        <v>0</v>
      </c>
      <c r="J132" s="1">
        <v>73450</v>
      </c>
      <c r="K132" s="1">
        <v>18634</v>
      </c>
      <c r="L132" s="1">
        <v>0</v>
      </c>
      <c r="M132" s="1">
        <v>0</v>
      </c>
      <c r="N132" s="1">
        <v>18634</v>
      </c>
      <c r="O132" s="3">
        <v>1</v>
      </c>
      <c r="P132" s="3">
        <v>0</v>
      </c>
      <c r="Q132" s="3">
        <v>0</v>
      </c>
      <c r="R132" s="3">
        <v>0</v>
      </c>
      <c r="S132" s="3">
        <v>0</v>
      </c>
      <c r="T132" s="1">
        <v>92084</v>
      </c>
      <c r="U132" s="1">
        <v>0</v>
      </c>
      <c r="V132" s="10">
        <f>Table1[[#This Row],[Pop NW+RATAA]]*Table1[[#This Row],[Perc_pop_Northern_Aleppo]]</f>
        <v>0</v>
      </c>
      <c r="W132" s="10">
        <f>Table1[[#This Row],[Pop NW+RATAA]]*Table1[[#This Row],[Perc_pop_Afrin District]]</f>
        <v>0</v>
      </c>
      <c r="X132" s="10">
        <f>Table1[[#This Row],[Pop NW+RATAA]]*Table1[[#This Row],[Perc_pop_Euphrates Shiled]]</f>
        <v>0</v>
      </c>
      <c r="Y132" s="10">
        <f>Table1[[#This Row],[Pop NW+RATAA]]*Table1[[#This Row],[Perc_Pop_Idleb_NSAG]]</f>
        <v>0</v>
      </c>
      <c r="Z132" s="3">
        <v>0</v>
      </c>
      <c r="AA132" s="3">
        <v>0</v>
      </c>
      <c r="AB132" s="3">
        <v>0</v>
      </c>
      <c r="AC132" s="3">
        <v>0</v>
      </c>
      <c r="AD132" s="1">
        <v>18634</v>
      </c>
      <c r="AE132" s="1">
        <v>0</v>
      </c>
      <c r="AF132" s="1">
        <v>0</v>
      </c>
      <c r="AG132" s="1">
        <v>0</v>
      </c>
      <c r="AH132" s="1">
        <v>0</v>
      </c>
      <c r="AI132" s="1">
        <f>Table1[[#This Row],[NWS_pin]]*Table1[[#This Row],[Perc_pop_Northern_Aleppo]]</f>
        <v>0</v>
      </c>
      <c r="AJ132" s="1">
        <f>Table1[[#This Row],[NWS_pin]]*Table1[[#This Row],[Perc_pop_Afrin District]]</f>
        <v>0</v>
      </c>
      <c r="AK132" s="1">
        <f>Table1[[#This Row],[NWS_pin]]*Table1[[#This Row],[Perc_pop_Euphrates Shiled]]</f>
        <v>0</v>
      </c>
      <c r="AL132" s="1">
        <f>Table1[[#This Row],[NWS_pin]]*Table1[[#This Row],[Perc_Pop_Idleb_NSAG]]</f>
        <v>0</v>
      </c>
      <c r="AM132" s="4">
        <v>0.49936332106310999</v>
      </c>
      <c r="AN132" s="4">
        <v>0.50063667893689001</v>
      </c>
      <c r="AO132" s="4">
        <v>9.5100706744014898E-2</v>
      </c>
      <c r="AP132" s="4">
        <v>0.395344933626744</v>
      </c>
      <c r="AQ132" s="4">
        <v>0.56431056349743602</v>
      </c>
      <c r="AR132" s="4">
        <v>9.8914857078777297E-4</v>
      </c>
      <c r="AS132" s="4">
        <v>0</v>
      </c>
      <c r="AT132" s="4">
        <v>3.93553543050323E-2</v>
      </c>
      <c r="AU132" s="4">
        <v>3.7362204470025098E-2</v>
      </c>
      <c r="AV132" s="4">
        <v>4.2483767123893103E-2</v>
      </c>
      <c r="AW132" s="4">
        <v>3.2253668392925802E-2</v>
      </c>
      <c r="AX132" s="4">
        <v>7.9860498667631799E-2</v>
      </c>
      <c r="AY132" s="4">
        <v>4.6081419106691501E-2</v>
      </c>
      <c r="AZ132" s="4">
        <v>0.11355366191692801</v>
      </c>
      <c r="BA132" s="4">
        <v>0.105850080990123</v>
      </c>
      <c r="BB132" s="4">
        <v>0.12679626196796001</v>
      </c>
      <c r="BC132" s="4">
        <v>8.4957176141654406E-2</v>
      </c>
      <c r="BD132" s="4">
        <v>8.5150318211204695E-2</v>
      </c>
      <c r="BE132" s="4">
        <v>8.1607888758198494E-2</v>
      </c>
      <c r="BF132" s="4">
        <v>8.8683737576404506E-2</v>
      </c>
      <c r="BG132" s="4">
        <v>7.6239017063274905E-2</v>
      </c>
      <c r="BH132" s="4">
        <v>5.7662146762133097E-2</v>
      </c>
      <c r="BI132" s="4">
        <v>9.4768637522239005E-2</v>
      </c>
      <c r="BJ132" s="4">
        <v>4.6706555325628903E-2</v>
      </c>
      <c r="BK132" s="4">
        <v>4.7712047572260802E-2</v>
      </c>
      <c r="BL132" s="4">
        <v>4.5703620525391099E-2</v>
      </c>
      <c r="BM132" s="4">
        <v>1.38079471576505E-2</v>
      </c>
      <c r="BN132" s="4">
        <v>1.1311970969309601E-2</v>
      </c>
      <c r="BO132" s="4">
        <v>1.6297574887985899E-2</v>
      </c>
      <c r="BP132" s="4">
        <v>3.3212408725819799E-2</v>
      </c>
      <c r="BQ132" s="4">
        <v>4.5970416939695197E-2</v>
      </c>
      <c r="BR132" s="4">
        <v>2.0486850212288601E-2</v>
      </c>
      <c r="BS132" s="4">
        <v>6.6927171732631893E-2</v>
      </c>
      <c r="BT132" s="4">
        <v>8.9207467318966296E-2</v>
      </c>
      <c r="BU132" s="4">
        <v>4.4703545565476302E-2</v>
      </c>
      <c r="BV132" s="4">
        <v>0.107857221884297</v>
      </c>
      <c r="BW132" s="4">
        <v>0.14401575500002101</v>
      </c>
      <c r="BX132" s="4">
        <v>7.1790657165585706E-2</v>
      </c>
      <c r="BY132" s="4">
        <v>0.108090378872247</v>
      </c>
      <c r="BZ132" s="4">
        <v>0.117150083214243</v>
      </c>
      <c r="CA132" s="4">
        <v>9.9053717679791403E-2</v>
      </c>
      <c r="CB132" s="4">
        <v>9.1008514743378205E-2</v>
      </c>
      <c r="CC132" s="4">
        <v>6.94357926867335E-2</v>
      </c>
      <c r="CD132" s="4">
        <v>0.112526367077836</v>
      </c>
      <c r="CE132" s="4">
        <v>4.3730981023668403E-2</v>
      </c>
      <c r="CF132" s="4">
        <v>4.5642969591230702E-2</v>
      </c>
      <c r="CG132" s="4">
        <v>4.18238555550349E-2</v>
      </c>
      <c r="CH132" s="4">
        <v>3.7098023313013102E-2</v>
      </c>
      <c r="CI132" s="4">
        <v>2.1660918249719802E-2</v>
      </c>
      <c r="CJ132" s="4">
        <v>5.2495864454768601E-2</v>
      </c>
      <c r="CK132" s="4">
        <v>3.5346277810582701E-2</v>
      </c>
      <c r="CL132" s="4">
        <v>3.0002444700631702E-2</v>
      </c>
      <c r="CM132" s="4">
        <v>4.0676519003974197E-2</v>
      </c>
      <c r="CN132" s="4">
        <v>1.8095472869788701E-2</v>
      </c>
      <c r="CO132" s="4">
        <v>0</v>
      </c>
      <c r="CP132" s="4">
        <v>3.6144920320689902E-2</v>
      </c>
      <c r="CQ132" s="4">
        <v>1.36569271390344E-2</v>
      </c>
      <c r="CR132" s="4">
        <v>2.32586500383129E-2</v>
      </c>
      <c r="CS132" s="4">
        <v>4.0796260010251802E-3</v>
      </c>
      <c r="CT132" s="1">
        <f>Table1[[#This Row],[Female %]]*Table1[[#This Row],[NWS_pin]]</f>
        <v>0</v>
      </c>
      <c r="CU132" s="1">
        <f>Table1[[#This Row],[Male %]]*Table1[[#This Row],[NWS_pin]]</f>
        <v>0</v>
      </c>
      <c r="CV132" s="1">
        <f>Table1[[#This Row],[Female% (0-2)22]]+Table1[[#This Row],[Male%(0-2)3]]</f>
        <v>0</v>
      </c>
      <c r="CW132" s="1">
        <f>$CT132*Table1[[#This Row],[Female% (0-2)]]</f>
        <v>0</v>
      </c>
      <c r="CX132" s="1">
        <f>$CU132*Table1[[#This Row],[Male%(0-2)]]</f>
        <v>0</v>
      </c>
      <c r="CY132" s="1">
        <f>Table1[[#This Row],[Female%  (3-5)5]]+Table1[[#This Row],[Male% (3-5)6]]</f>
        <v>0</v>
      </c>
      <c r="CZ132" s="1">
        <f>$AF132*Table1[[#This Row],[Female%  (3-5)]]</f>
        <v>0</v>
      </c>
      <c r="DA132" s="1">
        <f>$CU132*Table1[[#This Row],[Male% (3-5)]]</f>
        <v>0</v>
      </c>
      <c r="DB132" s="1">
        <f>Table1[[#This Row],[Female% (6-8)8]]+Table1[[#This Row],[Male%(6-8)9]]</f>
        <v>0</v>
      </c>
      <c r="DC132" s="1">
        <f>$CT132*Table1[[#This Row],[Female% (6-8)]]</f>
        <v>0</v>
      </c>
      <c r="DD132" s="1">
        <f>$CU132*Table1[[#This Row],[Male%(6-8)]]</f>
        <v>0</v>
      </c>
      <c r="DE132" s="1">
        <f>Table1[[#This Row],[Female% (9 - 11)11]]+Table1[[#This Row],[Male% (9 - 11)12]]</f>
        <v>0</v>
      </c>
      <c r="DF132" s="1">
        <f>$CT132*Table1[[#This Row],[Female% (9 - 11)]]</f>
        <v>0</v>
      </c>
      <c r="DG132" s="1">
        <f>$CU132*Table1[[#This Row],[Male% (9 - 11)]]</f>
        <v>0</v>
      </c>
      <c r="DH132" s="1">
        <f>Table1[[#This Row],[Female% (12-14)14]]+Table1[[#This Row],[Male%(12-14)15]]</f>
        <v>0</v>
      </c>
      <c r="DI132" s="1">
        <f>$CT132*Table1[[#This Row],[Female% (12-14)]]</f>
        <v>0</v>
      </c>
      <c r="DJ132" s="1">
        <f>$CU132*Table1[[#This Row],[Male%(12-14)]]</f>
        <v>0</v>
      </c>
      <c r="DK132" s="1">
        <f>Table1[[#This Row],[Female% (15-17)17]]+Table1[[#This Row],[Male%(15-17)18]]</f>
        <v>0</v>
      </c>
      <c r="DL132" s="1">
        <f>$CT132*Table1[[#This Row],[Female% (15-17)]]</f>
        <v>0</v>
      </c>
      <c r="DM132" s="1">
        <f>$CU132*Table1[[#This Row],[Male%(15-17)]]</f>
        <v>0</v>
      </c>
      <c r="DN132" s="1">
        <f>$AF132*Table1[[#This Row],[Total% (18-19)]]</f>
        <v>0</v>
      </c>
      <c r="DO132" s="1">
        <f>$CT132*Table1[[#This Row],[Female% (18-19)]]</f>
        <v>0</v>
      </c>
      <c r="DP132" s="1">
        <f>$CU132*Table1[[#This Row],[Male%(18-19)]]</f>
        <v>0</v>
      </c>
      <c r="DQ132" s="1">
        <f>$AF132*Table1[[#This Row],[Total% (20-24)]]</f>
        <v>0</v>
      </c>
      <c r="DR132" s="1">
        <f>$CT132*Table1[[#This Row],[Female% (20-24)]]</f>
        <v>0</v>
      </c>
      <c r="DS132" s="1">
        <f>$CU132*Table1[[#This Row],[Male% (20-24)]]</f>
        <v>0</v>
      </c>
      <c r="DT132" s="1">
        <f>$AF132*Table1[[#This Row],[Total% (25-29)]]</f>
        <v>0</v>
      </c>
      <c r="DU132" s="1">
        <f>$CT132*Table1[[#This Row],[Female% (25-29)]]</f>
        <v>0</v>
      </c>
      <c r="DV132" s="1">
        <f>$CU132*Table1[[#This Row],[Male% (25-29)]]</f>
        <v>0</v>
      </c>
      <c r="DW132" s="1">
        <f>$AF132*Table1[[#This Row],[Total%   (30-34)]]</f>
        <v>0</v>
      </c>
      <c r="DX132" s="1">
        <f>$CT132*Table1[[#This Row],[Female%   (30-34)]]</f>
        <v>0</v>
      </c>
      <c r="DY132" s="1">
        <f>$CU132*Table1[[#This Row],[Male%  (30-34)]]</f>
        <v>0</v>
      </c>
      <c r="DZ132" s="1">
        <f>$AF132*Table1[[#This Row],[Total% (35-39)]]</f>
        <v>0</v>
      </c>
      <c r="EA132" s="1">
        <f>$CT132*Table1[[#This Row],[Female% (35-39)]]</f>
        <v>0</v>
      </c>
      <c r="EB132" s="1">
        <f>$CU132*Table1[[#This Row],[Male% (35-39)]]</f>
        <v>0</v>
      </c>
      <c r="EC132" s="1">
        <f>$AF132*Table1[[#This Row],[Total% (40-44)]]</f>
        <v>0</v>
      </c>
      <c r="ED132" s="1">
        <f>$CT132*Table1[[#This Row],[Female% (40-44)]]</f>
        <v>0</v>
      </c>
      <c r="EE132" s="1">
        <f>$CU132*Table1[[#This Row],[Male%(55-59)]]</f>
        <v>0</v>
      </c>
      <c r="EF132" s="1">
        <f>$AF132*Table1[[#This Row],[Total% (45-49)]]</f>
        <v>0</v>
      </c>
      <c r="EG132" s="1">
        <f>$CT132*Table1[[#This Row],[Female% (45-49)]]</f>
        <v>0</v>
      </c>
      <c r="EH132" s="1">
        <f>$CU132*Table1[[#This Row],[Male% (45-49)]]</f>
        <v>0</v>
      </c>
      <c r="EI132" s="1">
        <f>$AF132*Table1[[#This Row],[Total% (50-54)]]</f>
        <v>0</v>
      </c>
      <c r="EJ132" s="1">
        <f>$CT132*Table1[[#This Row],[Female%(50-54)]]</f>
        <v>0</v>
      </c>
      <c r="EK132" s="1">
        <f>$CU132*Table1[[#This Row],[Male% (50-54)]]</f>
        <v>0</v>
      </c>
      <c r="EL132" s="1">
        <f>$AF132*Table1[[#This Row],[Total% (55-59)]]</f>
        <v>0</v>
      </c>
      <c r="EM132" s="1">
        <f>$CT132*Table1[[#This Row],[Female% (55-59)]]</f>
        <v>0</v>
      </c>
      <c r="EN132" s="1">
        <f>$CU132*Table1[[#This Row],[Male% (55-59)]]</f>
        <v>0</v>
      </c>
      <c r="EO132" s="1">
        <f>$AF132*Table1[[#This Row],[Total% (60-64)]]</f>
        <v>0</v>
      </c>
      <c r="EP132" s="1">
        <f>$CT132*Table1[[#This Row],[Female%(60-64)]]</f>
        <v>0</v>
      </c>
      <c r="EQ132" s="1">
        <f>$CU132*Table1[[#This Row],[Male%(60-64)]]</f>
        <v>0</v>
      </c>
      <c r="ER132" s="1">
        <f>$AF132*Table1[[#This Row],[Total% (&gt;=65)]]</f>
        <v>0</v>
      </c>
      <c r="ES132" s="1">
        <f>$CT132*Table1[[#This Row],[Female%(&gt;=65)]]</f>
        <v>0</v>
      </c>
      <c r="ET132" s="1">
        <f>$CU132*Table1[[#This Row],[Male% (&gt;=65)]]</f>
        <v>0</v>
      </c>
    </row>
    <row r="133" spans="1:150" hidden="1" x14ac:dyDescent="0.35">
      <c r="A133" t="s">
        <v>12</v>
      </c>
      <c r="B133" t="s">
        <v>13</v>
      </c>
      <c r="C133" t="s">
        <v>42</v>
      </c>
      <c r="D133" t="s">
        <v>43</v>
      </c>
      <c r="E133" t="s">
        <v>44</v>
      </c>
      <c r="F133" t="s">
        <v>45</v>
      </c>
      <c r="H133">
        <v>2</v>
      </c>
      <c r="I133" s="1">
        <v>0</v>
      </c>
      <c r="J133" s="1">
        <v>14031</v>
      </c>
      <c r="K133" s="1">
        <v>565</v>
      </c>
      <c r="L133" s="1">
        <v>0</v>
      </c>
      <c r="M133" s="1">
        <v>0</v>
      </c>
      <c r="N133" s="1">
        <v>565</v>
      </c>
      <c r="O133" s="3">
        <v>1</v>
      </c>
      <c r="P133" s="3">
        <v>0</v>
      </c>
      <c r="Q133" s="3">
        <v>0</v>
      </c>
      <c r="R133" s="3">
        <v>0</v>
      </c>
      <c r="S133" s="3">
        <v>0</v>
      </c>
      <c r="T133" s="1">
        <v>14596</v>
      </c>
      <c r="U133" s="1">
        <v>0</v>
      </c>
      <c r="V133" s="10">
        <f>Table1[[#This Row],[Pop NW+RATAA]]*Table1[[#This Row],[Perc_pop_Northern_Aleppo]]</f>
        <v>0</v>
      </c>
      <c r="W133" s="10">
        <f>Table1[[#This Row],[Pop NW+RATAA]]*Table1[[#This Row],[Perc_pop_Afrin District]]</f>
        <v>0</v>
      </c>
      <c r="X133" s="10">
        <f>Table1[[#This Row],[Pop NW+RATAA]]*Table1[[#This Row],[Perc_pop_Euphrates Shiled]]</f>
        <v>0</v>
      </c>
      <c r="Y133" s="10">
        <f>Table1[[#This Row],[Pop NW+RATAA]]*Table1[[#This Row],[Perc_Pop_Idleb_NSAG]]</f>
        <v>0</v>
      </c>
      <c r="Z133" s="3">
        <v>0</v>
      </c>
      <c r="AA133" s="3">
        <v>0</v>
      </c>
      <c r="AB133" s="3">
        <v>0</v>
      </c>
      <c r="AC133" s="3">
        <v>0</v>
      </c>
      <c r="AD133" s="1">
        <v>565</v>
      </c>
      <c r="AE133" s="1">
        <v>0</v>
      </c>
      <c r="AF133" s="1">
        <v>0</v>
      </c>
      <c r="AG133" s="1">
        <v>0</v>
      </c>
      <c r="AH133" s="1">
        <v>0</v>
      </c>
      <c r="AI133" s="1">
        <f>Table1[[#This Row],[NWS_pin]]*Table1[[#This Row],[Perc_pop_Northern_Aleppo]]</f>
        <v>0</v>
      </c>
      <c r="AJ133" s="1">
        <f>Table1[[#This Row],[NWS_pin]]*Table1[[#This Row],[Perc_pop_Afrin District]]</f>
        <v>0</v>
      </c>
      <c r="AK133" s="1">
        <f>Table1[[#This Row],[NWS_pin]]*Table1[[#This Row],[Perc_pop_Euphrates Shiled]]</f>
        <v>0</v>
      </c>
      <c r="AL133" s="1">
        <f>Table1[[#This Row],[NWS_pin]]*Table1[[#This Row],[Perc_Pop_Idleb_NSAG]]</f>
        <v>0</v>
      </c>
      <c r="AM133" s="4">
        <v>0.44378189815751201</v>
      </c>
      <c r="AN133" s="4">
        <v>0.55621810184248799</v>
      </c>
      <c r="AO133" s="4">
        <v>0.142300567326618</v>
      </c>
      <c r="AP133" s="4">
        <v>0.45679485073216303</v>
      </c>
      <c r="AQ133" s="4">
        <v>0.51751373927634603</v>
      </c>
      <c r="AR133" s="4">
        <v>2.4416075770783202E-3</v>
      </c>
      <c r="AS133" s="4">
        <v>0</v>
      </c>
      <c r="AT133" s="4">
        <v>2.3249802414412098E-2</v>
      </c>
      <c r="AU133" s="4">
        <v>1.0840501799202399E-2</v>
      </c>
      <c r="AV133" s="4">
        <v>9.8232340866473804E-3</v>
      </c>
      <c r="AW133" s="4">
        <v>1.1652134852705401E-2</v>
      </c>
      <c r="AX133" s="4">
        <v>2.7747046342509199E-2</v>
      </c>
      <c r="AY133" s="4">
        <v>2.1932824024154501E-2</v>
      </c>
      <c r="AZ133" s="4">
        <v>3.2385957964051401E-2</v>
      </c>
      <c r="BA133" s="4">
        <v>5.7512907063553498E-2</v>
      </c>
      <c r="BB133" s="4">
        <v>5.98865821894198E-2</v>
      </c>
      <c r="BC133" s="4">
        <v>5.5619056342987597E-2</v>
      </c>
      <c r="BD133" s="4">
        <v>6.2613084362937804E-2</v>
      </c>
      <c r="BE133" s="4">
        <v>6.7918094863287107E-2</v>
      </c>
      <c r="BF133" s="4">
        <v>5.8380450398325803E-2</v>
      </c>
      <c r="BG133" s="4">
        <v>8.0501834110112497E-2</v>
      </c>
      <c r="BH133" s="4">
        <v>3.7943716525514003E-2</v>
      </c>
      <c r="BI133" s="4">
        <v>0.11445707961748</v>
      </c>
      <c r="BJ133" s="4">
        <v>5.6656258054410401E-2</v>
      </c>
      <c r="BK133" s="4">
        <v>4.8506140818349301E-2</v>
      </c>
      <c r="BL133" s="4">
        <v>6.3158877234268898E-2</v>
      </c>
      <c r="BM133" s="4">
        <v>2.46701582875175E-2</v>
      </c>
      <c r="BN133" s="4">
        <v>2.5476476852200301E-2</v>
      </c>
      <c r="BO133" s="4">
        <v>2.4026832257729398E-2</v>
      </c>
      <c r="BP133" s="4">
        <v>9.6987908373983606E-2</v>
      </c>
      <c r="BQ133" s="4">
        <v>7.9548322023169499E-2</v>
      </c>
      <c r="BR133" s="4">
        <v>0.110902185360312</v>
      </c>
      <c r="BS133" s="4">
        <v>8.4201192717005394E-2</v>
      </c>
      <c r="BT133" s="4">
        <v>9.2204595564800207E-2</v>
      </c>
      <c r="BU133" s="4">
        <v>7.7815630478472897E-2</v>
      </c>
      <c r="BV133" s="4">
        <v>3.7175365889449301E-2</v>
      </c>
      <c r="BW133" s="4">
        <v>4.2069658938634701E-2</v>
      </c>
      <c r="BX133" s="4">
        <v>3.3270425269372801E-2</v>
      </c>
      <c r="BY133" s="4">
        <v>9.7168945478178698E-2</v>
      </c>
      <c r="BZ133" s="4">
        <v>0.15322082038606799</v>
      </c>
      <c r="CA133" s="4">
        <v>5.2447625982261097E-2</v>
      </c>
      <c r="CB133" s="4">
        <v>8.9537906597963193E-2</v>
      </c>
      <c r="CC133" s="4">
        <v>8.0540979952744896E-2</v>
      </c>
      <c r="CD133" s="4">
        <v>9.6716157667054603E-2</v>
      </c>
      <c r="CE133" s="4">
        <v>8.6718741107712799E-2</v>
      </c>
      <c r="CF133" s="4">
        <v>8.3858570365891005E-2</v>
      </c>
      <c r="CG133" s="4">
        <v>8.9000745229217804E-2</v>
      </c>
      <c r="CH133" s="4">
        <v>9.0340615834010193E-2</v>
      </c>
      <c r="CI133" s="4">
        <v>9.8865424412623706E-2</v>
      </c>
      <c r="CJ133" s="4">
        <v>8.3539046953179596E-2</v>
      </c>
      <c r="CK133" s="4">
        <v>6.4553077971492401E-2</v>
      </c>
      <c r="CL133" s="4">
        <v>6.6227375610338202E-2</v>
      </c>
      <c r="CM133" s="4">
        <v>6.3217229710196499E-2</v>
      </c>
      <c r="CN133" s="4">
        <v>1.7353845449979598E-2</v>
      </c>
      <c r="CO133" s="4">
        <v>1.49796160989075E-2</v>
      </c>
      <c r="CP133" s="4">
        <v>1.9248138362399799E-2</v>
      </c>
      <c r="CQ133" s="4">
        <v>1.5420610559981601E-2</v>
      </c>
      <c r="CR133" s="4">
        <v>1.6997567287249798E-2</v>
      </c>
      <c r="CS133" s="4">
        <v>1.4162426319984401E-2</v>
      </c>
      <c r="CT133" s="1">
        <f>Table1[[#This Row],[Female %]]*Table1[[#This Row],[NWS_pin]]</f>
        <v>0</v>
      </c>
      <c r="CU133" s="1">
        <f>Table1[[#This Row],[Male %]]*Table1[[#This Row],[NWS_pin]]</f>
        <v>0</v>
      </c>
      <c r="CV133" s="1">
        <f>Table1[[#This Row],[Female% (0-2)22]]+Table1[[#This Row],[Male%(0-2)3]]</f>
        <v>0</v>
      </c>
      <c r="CW133" s="1">
        <f>$CT133*Table1[[#This Row],[Female% (0-2)]]</f>
        <v>0</v>
      </c>
      <c r="CX133" s="1">
        <f>$CU133*Table1[[#This Row],[Male%(0-2)]]</f>
        <v>0</v>
      </c>
      <c r="CY133" s="1">
        <f>Table1[[#This Row],[Female%  (3-5)5]]+Table1[[#This Row],[Male% (3-5)6]]</f>
        <v>0</v>
      </c>
      <c r="CZ133" s="1">
        <f>$AF133*Table1[[#This Row],[Female%  (3-5)]]</f>
        <v>0</v>
      </c>
      <c r="DA133" s="1">
        <f>$CU133*Table1[[#This Row],[Male% (3-5)]]</f>
        <v>0</v>
      </c>
      <c r="DB133" s="1">
        <f>Table1[[#This Row],[Female% (6-8)8]]+Table1[[#This Row],[Male%(6-8)9]]</f>
        <v>0</v>
      </c>
      <c r="DC133" s="1">
        <f>$CT133*Table1[[#This Row],[Female% (6-8)]]</f>
        <v>0</v>
      </c>
      <c r="DD133" s="1">
        <f>$CU133*Table1[[#This Row],[Male%(6-8)]]</f>
        <v>0</v>
      </c>
      <c r="DE133" s="1">
        <f>Table1[[#This Row],[Female% (9 - 11)11]]+Table1[[#This Row],[Male% (9 - 11)12]]</f>
        <v>0</v>
      </c>
      <c r="DF133" s="1">
        <f>$CT133*Table1[[#This Row],[Female% (9 - 11)]]</f>
        <v>0</v>
      </c>
      <c r="DG133" s="1">
        <f>$CU133*Table1[[#This Row],[Male% (9 - 11)]]</f>
        <v>0</v>
      </c>
      <c r="DH133" s="1">
        <f>Table1[[#This Row],[Female% (12-14)14]]+Table1[[#This Row],[Male%(12-14)15]]</f>
        <v>0</v>
      </c>
      <c r="DI133" s="1">
        <f>$CT133*Table1[[#This Row],[Female% (12-14)]]</f>
        <v>0</v>
      </c>
      <c r="DJ133" s="1">
        <f>$CU133*Table1[[#This Row],[Male%(12-14)]]</f>
        <v>0</v>
      </c>
      <c r="DK133" s="1">
        <f>Table1[[#This Row],[Female% (15-17)17]]+Table1[[#This Row],[Male%(15-17)18]]</f>
        <v>0</v>
      </c>
      <c r="DL133" s="1">
        <f>$CT133*Table1[[#This Row],[Female% (15-17)]]</f>
        <v>0</v>
      </c>
      <c r="DM133" s="1">
        <f>$CU133*Table1[[#This Row],[Male%(15-17)]]</f>
        <v>0</v>
      </c>
      <c r="DN133" s="1">
        <f>$AF133*Table1[[#This Row],[Total% (18-19)]]</f>
        <v>0</v>
      </c>
      <c r="DO133" s="1">
        <f>$CT133*Table1[[#This Row],[Female% (18-19)]]</f>
        <v>0</v>
      </c>
      <c r="DP133" s="1">
        <f>$CU133*Table1[[#This Row],[Male%(18-19)]]</f>
        <v>0</v>
      </c>
      <c r="DQ133" s="1">
        <f>$AF133*Table1[[#This Row],[Total% (20-24)]]</f>
        <v>0</v>
      </c>
      <c r="DR133" s="1">
        <f>$CT133*Table1[[#This Row],[Female% (20-24)]]</f>
        <v>0</v>
      </c>
      <c r="DS133" s="1">
        <f>$CU133*Table1[[#This Row],[Male% (20-24)]]</f>
        <v>0</v>
      </c>
      <c r="DT133" s="1">
        <f>$AF133*Table1[[#This Row],[Total% (25-29)]]</f>
        <v>0</v>
      </c>
      <c r="DU133" s="1">
        <f>$CT133*Table1[[#This Row],[Female% (25-29)]]</f>
        <v>0</v>
      </c>
      <c r="DV133" s="1">
        <f>$CU133*Table1[[#This Row],[Male% (25-29)]]</f>
        <v>0</v>
      </c>
      <c r="DW133" s="1">
        <f>$AF133*Table1[[#This Row],[Total%   (30-34)]]</f>
        <v>0</v>
      </c>
      <c r="DX133" s="1">
        <f>$CT133*Table1[[#This Row],[Female%   (30-34)]]</f>
        <v>0</v>
      </c>
      <c r="DY133" s="1">
        <f>$CU133*Table1[[#This Row],[Male%  (30-34)]]</f>
        <v>0</v>
      </c>
      <c r="DZ133" s="1">
        <f>$AF133*Table1[[#This Row],[Total% (35-39)]]</f>
        <v>0</v>
      </c>
      <c r="EA133" s="1">
        <f>$CT133*Table1[[#This Row],[Female% (35-39)]]</f>
        <v>0</v>
      </c>
      <c r="EB133" s="1">
        <f>$CU133*Table1[[#This Row],[Male% (35-39)]]</f>
        <v>0</v>
      </c>
      <c r="EC133" s="1">
        <f>$AF133*Table1[[#This Row],[Total% (40-44)]]</f>
        <v>0</v>
      </c>
      <c r="ED133" s="1">
        <f>$CT133*Table1[[#This Row],[Female% (40-44)]]</f>
        <v>0</v>
      </c>
      <c r="EE133" s="1">
        <f>$CU133*Table1[[#This Row],[Male%(55-59)]]</f>
        <v>0</v>
      </c>
      <c r="EF133" s="1">
        <f>$AF133*Table1[[#This Row],[Total% (45-49)]]</f>
        <v>0</v>
      </c>
      <c r="EG133" s="1">
        <f>$CT133*Table1[[#This Row],[Female% (45-49)]]</f>
        <v>0</v>
      </c>
      <c r="EH133" s="1">
        <f>$CU133*Table1[[#This Row],[Male% (45-49)]]</f>
        <v>0</v>
      </c>
      <c r="EI133" s="1">
        <f>$AF133*Table1[[#This Row],[Total% (50-54)]]</f>
        <v>0</v>
      </c>
      <c r="EJ133" s="1">
        <f>$CT133*Table1[[#This Row],[Female%(50-54)]]</f>
        <v>0</v>
      </c>
      <c r="EK133" s="1">
        <f>$CU133*Table1[[#This Row],[Male% (50-54)]]</f>
        <v>0</v>
      </c>
      <c r="EL133" s="1">
        <f>$AF133*Table1[[#This Row],[Total% (55-59)]]</f>
        <v>0</v>
      </c>
      <c r="EM133" s="1">
        <f>$CT133*Table1[[#This Row],[Female% (55-59)]]</f>
        <v>0</v>
      </c>
      <c r="EN133" s="1">
        <f>$CU133*Table1[[#This Row],[Male% (55-59)]]</f>
        <v>0</v>
      </c>
      <c r="EO133" s="1">
        <f>$AF133*Table1[[#This Row],[Total% (60-64)]]</f>
        <v>0</v>
      </c>
      <c r="EP133" s="1">
        <f>$CT133*Table1[[#This Row],[Female%(60-64)]]</f>
        <v>0</v>
      </c>
      <c r="EQ133" s="1">
        <f>$CU133*Table1[[#This Row],[Male%(60-64)]]</f>
        <v>0</v>
      </c>
      <c r="ER133" s="1">
        <f>$AF133*Table1[[#This Row],[Total% (&gt;=65)]]</f>
        <v>0</v>
      </c>
      <c r="ES133" s="1">
        <f>$CT133*Table1[[#This Row],[Female%(&gt;=65)]]</f>
        <v>0</v>
      </c>
      <c r="ET133" s="1">
        <f>$CU133*Table1[[#This Row],[Male% (&gt;=65)]]</f>
        <v>0</v>
      </c>
    </row>
    <row r="134" spans="1:150" hidden="1" x14ac:dyDescent="0.35">
      <c r="A134" t="s">
        <v>12</v>
      </c>
      <c r="B134" t="s">
        <v>13</v>
      </c>
      <c r="C134" t="s">
        <v>42</v>
      </c>
      <c r="D134" t="s">
        <v>43</v>
      </c>
      <c r="E134" t="s">
        <v>50</v>
      </c>
      <c r="F134" t="s">
        <v>51</v>
      </c>
      <c r="H134">
        <v>2</v>
      </c>
      <c r="I134" s="1">
        <v>280</v>
      </c>
      <c r="J134" s="1">
        <v>27104</v>
      </c>
      <c r="K134" s="1">
        <v>1664</v>
      </c>
      <c r="L134" s="1">
        <v>0</v>
      </c>
      <c r="M134" s="1">
        <v>0</v>
      </c>
      <c r="N134" s="1">
        <v>1664</v>
      </c>
      <c r="O134" s="3">
        <v>1</v>
      </c>
      <c r="P134" s="3">
        <v>0</v>
      </c>
      <c r="Q134" s="3">
        <v>0</v>
      </c>
      <c r="R134" s="3">
        <v>0</v>
      </c>
      <c r="S134" s="3">
        <v>0</v>
      </c>
      <c r="T134" s="1">
        <v>29048</v>
      </c>
      <c r="U134" s="1">
        <v>0</v>
      </c>
      <c r="V134" s="10">
        <f>Table1[[#This Row],[Pop NW+RATAA]]*Table1[[#This Row],[Perc_pop_Northern_Aleppo]]</f>
        <v>0</v>
      </c>
      <c r="W134" s="10">
        <f>Table1[[#This Row],[Pop NW+RATAA]]*Table1[[#This Row],[Perc_pop_Afrin District]]</f>
        <v>0</v>
      </c>
      <c r="X134" s="10">
        <f>Table1[[#This Row],[Pop NW+RATAA]]*Table1[[#This Row],[Perc_pop_Euphrates Shiled]]</f>
        <v>0</v>
      </c>
      <c r="Y134" s="10">
        <f>Table1[[#This Row],[Pop NW+RATAA]]*Table1[[#This Row],[Perc_Pop_Idleb_NSAG]]</f>
        <v>0</v>
      </c>
      <c r="Z134" s="3">
        <v>0</v>
      </c>
      <c r="AA134" s="3">
        <v>0</v>
      </c>
      <c r="AB134" s="3">
        <v>0</v>
      </c>
      <c r="AC134" s="3">
        <v>0</v>
      </c>
      <c r="AD134" s="1">
        <v>1664</v>
      </c>
      <c r="AE134" s="1">
        <v>0</v>
      </c>
      <c r="AF134" s="1">
        <v>0</v>
      </c>
      <c r="AG134" s="1">
        <v>0</v>
      </c>
      <c r="AH134" s="1">
        <v>0</v>
      </c>
      <c r="AI134" s="1">
        <f>Table1[[#This Row],[NWS_pin]]*Table1[[#This Row],[Perc_pop_Northern_Aleppo]]</f>
        <v>0</v>
      </c>
      <c r="AJ134" s="1">
        <f>Table1[[#This Row],[NWS_pin]]*Table1[[#This Row],[Perc_pop_Afrin District]]</f>
        <v>0</v>
      </c>
      <c r="AK134" s="1">
        <f>Table1[[#This Row],[NWS_pin]]*Table1[[#This Row],[Perc_pop_Euphrates Shiled]]</f>
        <v>0</v>
      </c>
      <c r="AL134" s="1">
        <f>Table1[[#This Row],[NWS_pin]]*Table1[[#This Row],[Perc_Pop_Idleb_NSAG]]</f>
        <v>0</v>
      </c>
      <c r="AM134" s="4">
        <v>0.450248554339163</v>
      </c>
      <c r="AN134" s="4">
        <v>0.549751445660837</v>
      </c>
      <c r="AO134" s="4">
        <v>0.10857843137254899</v>
      </c>
      <c r="AP134" s="4">
        <v>0.48612095911110398</v>
      </c>
      <c r="AQ134" s="4">
        <v>0.487857084053676</v>
      </c>
      <c r="AR134" s="4">
        <v>1.1322323048037901E-2</v>
      </c>
      <c r="AS134" s="4">
        <v>0</v>
      </c>
      <c r="AT134" s="4">
        <v>1.46996337871823E-2</v>
      </c>
      <c r="AU134" s="4">
        <v>2.5805076225753301E-2</v>
      </c>
      <c r="AV134" s="4">
        <v>2.2363998079165798E-2</v>
      </c>
      <c r="AW134" s="4">
        <v>2.86233324997439E-2</v>
      </c>
      <c r="AX134" s="4">
        <v>3.29449570844043E-2</v>
      </c>
      <c r="AY134" s="4">
        <v>3.9677063114468503E-2</v>
      </c>
      <c r="AZ134" s="4">
        <v>2.7431336280641299E-2</v>
      </c>
      <c r="BA134" s="4">
        <v>4.1738838674667503E-2</v>
      </c>
      <c r="BB134" s="4">
        <v>4.13315631528045E-2</v>
      </c>
      <c r="BC134" s="4">
        <v>4.2072398897899203E-2</v>
      </c>
      <c r="BD134" s="4">
        <v>7.4180509560620805E-2</v>
      </c>
      <c r="BE134" s="4">
        <v>6.2084105097070699E-2</v>
      </c>
      <c r="BF134" s="4">
        <v>8.40875114710357E-2</v>
      </c>
      <c r="BG134" s="4">
        <v>7.5350604549077396E-2</v>
      </c>
      <c r="BH134" s="4">
        <v>6.34601648850526E-2</v>
      </c>
      <c r="BI134" s="4">
        <v>8.50889204942928E-2</v>
      </c>
      <c r="BJ134" s="4">
        <v>6.13966767364282E-2</v>
      </c>
      <c r="BK134" s="4">
        <v>6.3386183176021405E-2</v>
      </c>
      <c r="BL134" s="4">
        <v>5.9767263289050299E-2</v>
      </c>
      <c r="BM134" s="4">
        <v>3.7187459876401097E-2</v>
      </c>
      <c r="BN134" s="4">
        <v>2.90788470152415E-2</v>
      </c>
      <c r="BO134" s="4">
        <v>4.3828445083896897E-2</v>
      </c>
      <c r="BP134" s="4">
        <v>0.10320879775768101</v>
      </c>
      <c r="BQ134" s="4">
        <v>8.0120845758897594E-2</v>
      </c>
      <c r="BR134" s="4">
        <v>0.122117919492884</v>
      </c>
      <c r="BS134" s="4">
        <v>7.8203165312861103E-2</v>
      </c>
      <c r="BT134" s="4">
        <v>7.7091631054562196E-2</v>
      </c>
      <c r="BU134" s="4">
        <v>7.9113516157497704E-2</v>
      </c>
      <c r="BV134" s="4">
        <v>3.5394162122353599E-2</v>
      </c>
      <c r="BW134" s="4">
        <v>5.9829680654590101E-2</v>
      </c>
      <c r="BX134" s="4">
        <v>1.5381378198807799E-2</v>
      </c>
      <c r="BY134" s="4">
        <v>9.0153638559353794E-2</v>
      </c>
      <c r="BZ134" s="4">
        <v>0.12947202617069301</v>
      </c>
      <c r="CA134" s="4">
        <v>5.7951727458106603E-2</v>
      </c>
      <c r="CB134" s="4">
        <v>9.6400807195963001E-2</v>
      </c>
      <c r="CC134" s="4">
        <v>9.74056632325703E-2</v>
      </c>
      <c r="CD134" s="4">
        <v>9.5577826226340395E-2</v>
      </c>
      <c r="CE134" s="4">
        <v>9.8151104564823996E-2</v>
      </c>
      <c r="CF134" s="4">
        <v>8.9334931338248394E-2</v>
      </c>
      <c r="CG134" s="4">
        <v>0.105371584440594</v>
      </c>
      <c r="CH134" s="4">
        <v>7.2709411875858498E-2</v>
      </c>
      <c r="CI134" s="4">
        <v>6.9897918692756605E-2</v>
      </c>
      <c r="CJ134" s="4">
        <v>7.5012035636500607E-2</v>
      </c>
      <c r="CK134" s="4">
        <v>3.9018307262583402E-2</v>
      </c>
      <c r="CL134" s="4">
        <v>5.1002990206166901E-2</v>
      </c>
      <c r="CM134" s="4">
        <v>2.92028057079213E-2</v>
      </c>
      <c r="CN134" s="4">
        <v>3.0122072642791601E-2</v>
      </c>
      <c r="CO134" s="4">
        <v>9.4158538767087994E-3</v>
      </c>
      <c r="CP134" s="4">
        <v>4.7080545674276601E-2</v>
      </c>
      <c r="CQ134" s="4">
        <v>8.0344099983768891E-3</v>
      </c>
      <c r="CR134" s="4">
        <v>1.5046534494980701E-2</v>
      </c>
      <c r="CS134" s="4">
        <v>2.2914529905114001E-3</v>
      </c>
      <c r="CT134" s="1">
        <f>Table1[[#This Row],[Female %]]*Table1[[#This Row],[NWS_pin]]</f>
        <v>0</v>
      </c>
      <c r="CU134" s="1">
        <f>Table1[[#This Row],[Male %]]*Table1[[#This Row],[NWS_pin]]</f>
        <v>0</v>
      </c>
      <c r="CV134" s="1">
        <f>Table1[[#This Row],[Female% (0-2)22]]+Table1[[#This Row],[Male%(0-2)3]]</f>
        <v>0</v>
      </c>
      <c r="CW134" s="1">
        <f>$CT134*Table1[[#This Row],[Female% (0-2)]]</f>
        <v>0</v>
      </c>
      <c r="CX134" s="1">
        <f>$CU134*Table1[[#This Row],[Male%(0-2)]]</f>
        <v>0</v>
      </c>
      <c r="CY134" s="1">
        <f>Table1[[#This Row],[Female%  (3-5)5]]+Table1[[#This Row],[Male% (3-5)6]]</f>
        <v>0</v>
      </c>
      <c r="CZ134" s="1">
        <f>$AF134*Table1[[#This Row],[Female%  (3-5)]]</f>
        <v>0</v>
      </c>
      <c r="DA134" s="1">
        <f>$CU134*Table1[[#This Row],[Male% (3-5)]]</f>
        <v>0</v>
      </c>
      <c r="DB134" s="1">
        <f>Table1[[#This Row],[Female% (6-8)8]]+Table1[[#This Row],[Male%(6-8)9]]</f>
        <v>0</v>
      </c>
      <c r="DC134" s="1">
        <f>$CT134*Table1[[#This Row],[Female% (6-8)]]</f>
        <v>0</v>
      </c>
      <c r="DD134" s="1">
        <f>$CU134*Table1[[#This Row],[Male%(6-8)]]</f>
        <v>0</v>
      </c>
      <c r="DE134" s="1">
        <f>Table1[[#This Row],[Female% (9 - 11)11]]+Table1[[#This Row],[Male% (9 - 11)12]]</f>
        <v>0</v>
      </c>
      <c r="DF134" s="1">
        <f>$CT134*Table1[[#This Row],[Female% (9 - 11)]]</f>
        <v>0</v>
      </c>
      <c r="DG134" s="1">
        <f>$CU134*Table1[[#This Row],[Male% (9 - 11)]]</f>
        <v>0</v>
      </c>
      <c r="DH134" s="1">
        <f>Table1[[#This Row],[Female% (12-14)14]]+Table1[[#This Row],[Male%(12-14)15]]</f>
        <v>0</v>
      </c>
      <c r="DI134" s="1">
        <f>$CT134*Table1[[#This Row],[Female% (12-14)]]</f>
        <v>0</v>
      </c>
      <c r="DJ134" s="1">
        <f>$CU134*Table1[[#This Row],[Male%(12-14)]]</f>
        <v>0</v>
      </c>
      <c r="DK134" s="1">
        <f>Table1[[#This Row],[Female% (15-17)17]]+Table1[[#This Row],[Male%(15-17)18]]</f>
        <v>0</v>
      </c>
      <c r="DL134" s="1">
        <f>$CT134*Table1[[#This Row],[Female% (15-17)]]</f>
        <v>0</v>
      </c>
      <c r="DM134" s="1">
        <f>$CU134*Table1[[#This Row],[Male%(15-17)]]</f>
        <v>0</v>
      </c>
      <c r="DN134" s="1">
        <f>$AF134*Table1[[#This Row],[Total% (18-19)]]</f>
        <v>0</v>
      </c>
      <c r="DO134" s="1">
        <f>$CT134*Table1[[#This Row],[Female% (18-19)]]</f>
        <v>0</v>
      </c>
      <c r="DP134" s="1">
        <f>$CU134*Table1[[#This Row],[Male%(18-19)]]</f>
        <v>0</v>
      </c>
      <c r="DQ134" s="1">
        <f>$AF134*Table1[[#This Row],[Total% (20-24)]]</f>
        <v>0</v>
      </c>
      <c r="DR134" s="1">
        <f>$CT134*Table1[[#This Row],[Female% (20-24)]]</f>
        <v>0</v>
      </c>
      <c r="DS134" s="1">
        <f>$CU134*Table1[[#This Row],[Male% (20-24)]]</f>
        <v>0</v>
      </c>
      <c r="DT134" s="1">
        <f>$AF134*Table1[[#This Row],[Total% (25-29)]]</f>
        <v>0</v>
      </c>
      <c r="DU134" s="1">
        <f>$CT134*Table1[[#This Row],[Female% (25-29)]]</f>
        <v>0</v>
      </c>
      <c r="DV134" s="1">
        <f>$CU134*Table1[[#This Row],[Male% (25-29)]]</f>
        <v>0</v>
      </c>
      <c r="DW134" s="1">
        <f>$AF134*Table1[[#This Row],[Total%   (30-34)]]</f>
        <v>0</v>
      </c>
      <c r="DX134" s="1">
        <f>$CT134*Table1[[#This Row],[Female%   (30-34)]]</f>
        <v>0</v>
      </c>
      <c r="DY134" s="1">
        <f>$CU134*Table1[[#This Row],[Male%  (30-34)]]</f>
        <v>0</v>
      </c>
      <c r="DZ134" s="1">
        <f>$AF134*Table1[[#This Row],[Total% (35-39)]]</f>
        <v>0</v>
      </c>
      <c r="EA134" s="1">
        <f>$CT134*Table1[[#This Row],[Female% (35-39)]]</f>
        <v>0</v>
      </c>
      <c r="EB134" s="1">
        <f>$CU134*Table1[[#This Row],[Male% (35-39)]]</f>
        <v>0</v>
      </c>
      <c r="EC134" s="1">
        <f>$AF134*Table1[[#This Row],[Total% (40-44)]]</f>
        <v>0</v>
      </c>
      <c r="ED134" s="1">
        <f>$CT134*Table1[[#This Row],[Female% (40-44)]]</f>
        <v>0</v>
      </c>
      <c r="EE134" s="1">
        <f>$CU134*Table1[[#This Row],[Male%(55-59)]]</f>
        <v>0</v>
      </c>
      <c r="EF134" s="1">
        <f>$AF134*Table1[[#This Row],[Total% (45-49)]]</f>
        <v>0</v>
      </c>
      <c r="EG134" s="1">
        <f>$CT134*Table1[[#This Row],[Female% (45-49)]]</f>
        <v>0</v>
      </c>
      <c r="EH134" s="1">
        <f>$CU134*Table1[[#This Row],[Male% (45-49)]]</f>
        <v>0</v>
      </c>
      <c r="EI134" s="1">
        <f>$AF134*Table1[[#This Row],[Total% (50-54)]]</f>
        <v>0</v>
      </c>
      <c r="EJ134" s="1">
        <f>$CT134*Table1[[#This Row],[Female%(50-54)]]</f>
        <v>0</v>
      </c>
      <c r="EK134" s="1">
        <f>$CU134*Table1[[#This Row],[Male% (50-54)]]</f>
        <v>0</v>
      </c>
      <c r="EL134" s="1">
        <f>$AF134*Table1[[#This Row],[Total% (55-59)]]</f>
        <v>0</v>
      </c>
      <c r="EM134" s="1">
        <f>$CT134*Table1[[#This Row],[Female% (55-59)]]</f>
        <v>0</v>
      </c>
      <c r="EN134" s="1">
        <f>$CU134*Table1[[#This Row],[Male% (55-59)]]</f>
        <v>0</v>
      </c>
      <c r="EO134" s="1">
        <f>$AF134*Table1[[#This Row],[Total% (60-64)]]</f>
        <v>0</v>
      </c>
      <c r="EP134" s="1">
        <f>$CT134*Table1[[#This Row],[Female%(60-64)]]</f>
        <v>0</v>
      </c>
      <c r="EQ134" s="1">
        <f>$CU134*Table1[[#This Row],[Male%(60-64)]]</f>
        <v>0</v>
      </c>
      <c r="ER134" s="1">
        <f>$AF134*Table1[[#This Row],[Total% (&gt;=65)]]</f>
        <v>0</v>
      </c>
      <c r="ES134" s="1">
        <f>$CT134*Table1[[#This Row],[Female%(&gt;=65)]]</f>
        <v>0</v>
      </c>
      <c r="ET134" s="1">
        <f>$CU134*Table1[[#This Row],[Male% (&gt;=65)]]</f>
        <v>0</v>
      </c>
    </row>
    <row r="135" spans="1:150" hidden="1" x14ac:dyDescent="0.35">
      <c r="A135" t="s">
        <v>12</v>
      </c>
      <c r="B135" t="s">
        <v>13</v>
      </c>
      <c r="C135" t="s">
        <v>42</v>
      </c>
      <c r="D135" t="s">
        <v>43</v>
      </c>
      <c r="E135" t="s">
        <v>534</v>
      </c>
      <c r="F135" t="s">
        <v>535</v>
      </c>
      <c r="H135">
        <v>2</v>
      </c>
      <c r="I135" s="1">
        <v>0</v>
      </c>
      <c r="J135" s="1">
        <v>12028</v>
      </c>
      <c r="K135" s="1">
        <v>743</v>
      </c>
      <c r="L135" s="1">
        <v>0</v>
      </c>
      <c r="M135" s="1">
        <v>0</v>
      </c>
      <c r="N135" s="1">
        <v>743</v>
      </c>
      <c r="O135" s="3">
        <v>1</v>
      </c>
      <c r="P135" s="3">
        <v>0</v>
      </c>
      <c r="Q135" s="3">
        <v>0</v>
      </c>
      <c r="R135" s="3">
        <v>0</v>
      </c>
      <c r="S135" s="3">
        <v>0</v>
      </c>
      <c r="T135" s="1">
        <v>12771</v>
      </c>
      <c r="U135" s="1">
        <v>0</v>
      </c>
      <c r="V135" s="10">
        <f>Table1[[#This Row],[Pop NW+RATAA]]*Table1[[#This Row],[Perc_pop_Northern_Aleppo]]</f>
        <v>0</v>
      </c>
      <c r="W135" s="10">
        <f>Table1[[#This Row],[Pop NW+RATAA]]*Table1[[#This Row],[Perc_pop_Afrin District]]</f>
        <v>0</v>
      </c>
      <c r="X135" s="10">
        <f>Table1[[#This Row],[Pop NW+RATAA]]*Table1[[#This Row],[Perc_pop_Euphrates Shiled]]</f>
        <v>0</v>
      </c>
      <c r="Y135" s="10">
        <f>Table1[[#This Row],[Pop NW+RATAA]]*Table1[[#This Row],[Perc_Pop_Idleb_NSAG]]</f>
        <v>0</v>
      </c>
      <c r="Z135" s="3">
        <v>0</v>
      </c>
      <c r="AA135" s="3">
        <v>0</v>
      </c>
      <c r="AB135" s="3">
        <v>0</v>
      </c>
      <c r="AC135" s="3">
        <v>0</v>
      </c>
      <c r="AD135" s="1">
        <v>743</v>
      </c>
      <c r="AE135" s="1">
        <v>0</v>
      </c>
      <c r="AF135" s="1">
        <v>0</v>
      </c>
      <c r="AG135" s="1">
        <v>0</v>
      </c>
      <c r="AH135" s="1">
        <v>0</v>
      </c>
      <c r="AI135" s="1">
        <f>Table1[[#This Row],[NWS_pin]]*Table1[[#This Row],[Perc_pop_Northern_Aleppo]]</f>
        <v>0</v>
      </c>
      <c r="AJ135" s="1">
        <f>Table1[[#This Row],[NWS_pin]]*Table1[[#This Row],[Perc_pop_Afrin District]]</f>
        <v>0</v>
      </c>
      <c r="AK135" s="1">
        <f>Table1[[#This Row],[NWS_pin]]*Table1[[#This Row],[Perc_pop_Euphrates Shiled]]</f>
        <v>0</v>
      </c>
      <c r="AL135" s="1">
        <f>Table1[[#This Row],[NWS_pin]]*Table1[[#This Row],[Perc_Pop_Idleb_NSAG]]</f>
        <v>0</v>
      </c>
      <c r="AM135" s="4">
        <v>0.50211408675495695</v>
      </c>
      <c r="AN135" s="4">
        <v>0.497885913245043</v>
      </c>
      <c r="AO135" s="4">
        <v>0.21361795509343001</v>
      </c>
      <c r="AP135" s="4">
        <v>0.49609097449415701</v>
      </c>
      <c r="AQ135" s="4">
        <v>0.44522514628529503</v>
      </c>
      <c r="AR135" s="4">
        <v>4.3828107433944103E-3</v>
      </c>
      <c r="AS135" s="4">
        <v>0</v>
      </c>
      <c r="AT135" s="4">
        <v>5.4301068477153699E-2</v>
      </c>
      <c r="AU135" s="4">
        <v>1.46606190567138E-2</v>
      </c>
      <c r="AV135" s="4">
        <v>1.4727873785954399E-2</v>
      </c>
      <c r="AW135" s="4">
        <v>1.4592793183247001E-2</v>
      </c>
      <c r="AX135" s="4">
        <v>3.5036170194331098E-2</v>
      </c>
      <c r="AY135" s="4">
        <v>2.5772858425005402E-2</v>
      </c>
      <c r="AZ135" s="4">
        <v>4.4378148357694401E-2</v>
      </c>
      <c r="BA135" s="4">
        <v>5.4795011328004101E-2</v>
      </c>
      <c r="BB135" s="4">
        <v>4.4958734457368803E-2</v>
      </c>
      <c r="BC135" s="4">
        <v>6.4714820357702693E-2</v>
      </c>
      <c r="BD135" s="4">
        <v>5.2247673123955098E-2</v>
      </c>
      <c r="BE135" s="4">
        <v>3.7174324933290502E-2</v>
      </c>
      <c r="BF135" s="4">
        <v>6.74490280121985E-2</v>
      </c>
      <c r="BG135" s="4">
        <v>6.4024063138794302E-2</v>
      </c>
      <c r="BH135" s="4">
        <v>6.3959503879623306E-2</v>
      </c>
      <c r="BI135" s="4">
        <v>6.4089170651575697E-2</v>
      </c>
      <c r="BJ135" s="4">
        <v>6.9226776809240498E-2</v>
      </c>
      <c r="BK135" s="4">
        <v>5.5980676589656303E-2</v>
      </c>
      <c r="BL135" s="4">
        <v>8.2585366272983199E-2</v>
      </c>
      <c r="BM135" s="4">
        <v>4.1549522055760998E-2</v>
      </c>
      <c r="BN135" s="4">
        <v>4.9275819547518002E-2</v>
      </c>
      <c r="BO135" s="4">
        <v>3.3757610885216699E-2</v>
      </c>
      <c r="BP135" s="4">
        <v>0.10110005139943801</v>
      </c>
      <c r="BQ135" s="4">
        <v>0.105869611790378</v>
      </c>
      <c r="BR135" s="4">
        <v>9.6289986691420304E-2</v>
      </c>
      <c r="BS135" s="4">
        <v>9.6515051816153705E-2</v>
      </c>
      <c r="BT135" s="4">
        <v>0.113631424576672</v>
      </c>
      <c r="BU135" s="4">
        <v>7.9253322475008103E-2</v>
      </c>
      <c r="BV135" s="4">
        <v>6.2656660776589004E-2</v>
      </c>
      <c r="BW135" s="4">
        <v>8.9436517514754801E-2</v>
      </c>
      <c r="BX135" s="4">
        <v>3.5649382699824601E-2</v>
      </c>
      <c r="BY135" s="4">
        <v>7.6391213881929099E-2</v>
      </c>
      <c r="BZ135" s="4">
        <v>8.2254416870684396E-2</v>
      </c>
      <c r="CA135" s="4">
        <v>7.0478219085651606E-2</v>
      </c>
      <c r="CB135" s="4">
        <v>5.7943402113326603E-2</v>
      </c>
      <c r="CC135" s="4">
        <v>5.1452151191106403E-2</v>
      </c>
      <c r="CD135" s="4">
        <v>6.4489778385482199E-2</v>
      </c>
      <c r="CE135" s="4">
        <v>8.5730714846629197E-2</v>
      </c>
      <c r="CF135" s="4">
        <v>8.6579038372826905E-2</v>
      </c>
      <c r="CG135" s="4">
        <v>8.4875187141791694E-2</v>
      </c>
      <c r="CH135" s="4">
        <v>3.4899411968286199E-2</v>
      </c>
      <c r="CI135" s="4">
        <v>3.8566344805354903E-2</v>
      </c>
      <c r="CJ135" s="4">
        <v>3.1201338607109701E-2</v>
      </c>
      <c r="CK135" s="4">
        <v>3.6496308009019998E-2</v>
      </c>
      <c r="CL135" s="4">
        <v>2.73777392337126E-2</v>
      </c>
      <c r="CM135" s="4">
        <v>4.5692313984132399E-2</v>
      </c>
      <c r="CN135" s="4">
        <v>3.9917510296339997E-2</v>
      </c>
      <c r="CO135" s="4">
        <v>4.5679742867787997E-2</v>
      </c>
      <c r="CP135" s="4">
        <v>3.4106343383774003E-2</v>
      </c>
      <c r="CQ135" s="4">
        <v>7.6809839185488005E-2</v>
      </c>
      <c r="CR135" s="4">
        <v>6.7303221158305407E-2</v>
      </c>
      <c r="CS135" s="4">
        <v>8.6397189825187098E-2</v>
      </c>
      <c r="CT135" s="1">
        <f>Table1[[#This Row],[Female %]]*Table1[[#This Row],[NWS_pin]]</f>
        <v>0</v>
      </c>
      <c r="CU135" s="1">
        <f>Table1[[#This Row],[Male %]]*Table1[[#This Row],[NWS_pin]]</f>
        <v>0</v>
      </c>
      <c r="CV135" s="1">
        <f>Table1[[#This Row],[Female% (0-2)22]]+Table1[[#This Row],[Male%(0-2)3]]</f>
        <v>0</v>
      </c>
      <c r="CW135" s="1">
        <f>$CT135*Table1[[#This Row],[Female% (0-2)]]</f>
        <v>0</v>
      </c>
      <c r="CX135" s="1">
        <f>$CU135*Table1[[#This Row],[Male%(0-2)]]</f>
        <v>0</v>
      </c>
      <c r="CY135" s="1">
        <f>Table1[[#This Row],[Female%  (3-5)5]]+Table1[[#This Row],[Male% (3-5)6]]</f>
        <v>0</v>
      </c>
      <c r="CZ135" s="1">
        <f>$AF135*Table1[[#This Row],[Female%  (3-5)]]</f>
        <v>0</v>
      </c>
      <c r="DA135" s="1">
        <f>$CU135*Table1[[#This Row],[Male% (3-5)]]</f>
        <v>0</v>
      </c>
      <c r="DB135" s="1">
        <f>Table1[[#This Row],[Female% (6-8)8]]+Table1[[#This Row],[Male%(6-8)9]]</f>
        <v>0</v>
      </c>
      <c r="DC135" s="1">
        <f>$CT135*Table1[[#This Row],[Female% (6-8)]]</f>
        <v>0</v>
      </c>
      <c r="DD135" s="1">
        <f>$CU135*Table1[[#This Row],[Male%(6-8)]]</f>
        <v>0</v>
      </c>
      <c r="DE135" s="1">
        <f>Table1[[#This Row],[Female% (9 - 11)11]]+Table1[[#This Row],[Male% (9 - 11)12]]</f>
        <v>0</v>
      </c>
      <c r="DF135" s="1">
        <f>$CT135*Table1[[#This Row],[Female% (9 - 11)]]</f>
        <v>0</v>
      </c>
      <c r="DG135" s="1">
        <f>$CU135*Table1[[#This Row],[Male% (9 - 11)]]</f>
        <v>0</v>
      </c>
      <c r="DH135" s="1">
        <f>Table1[[#This Row],[Female% (12-14)14]]+Table1[[#This Row],[Male%(12-14)15]]</f>
        <v>0</v>
      </c>
      <c r="DI135" s="1">
        <f>$CT135*Table1[[#This Row],[Female% (12-14)]]</f>
        <v>0</v>
      </c>
      <c r="DJ135" s="1">
        <f>$CU135*Table1[[#This Row],[Male%(12-14)]]</f>
        <v>0</v>
      </c>
      <c r="DK135" s="1">
        <f>Table1[[#This Row],[Female% (15-17)17]]+Table1[[#This Row],[Male%(15-17)18]]</f>
        <v>0</v>
      </c>
      <c r="DL135" s="1">
        <f>$CT135*Table1[[#This Row],[Female% (15-17)]]</f>
        <v>0</v>
      </c>
      <c r="DM135" s="1">
        <f>$CU135*Table1[[#This Row],[Male%(15-17)]]</f>
        <v>0</v>
      </c>
      <c r="DN135" s="1">
        <f>$AF135*Table1[[#This Row],[Total% (18-19)]]</f>
        <v>0</v>
      </c>
      <c r="DO135" s="1">
        <f>$CT135*Table1[[#This Row],[Female% (18-19)]]</f>
        <v>0</v>
      </c>
      <c r="DP135" s="1">
        <f>$CU135*Table1[[#This Row],[Male%(18-19)]]</f>
        <v>0</v>
      </c>
      <c r="DQ135" s="1">
        <f>$AF135*Table1[[#This Row],[Total% (20-24)]]</f>
        <v>0</v>
      </c>
      <c r="DR135" s="1">
        <f>$CT135*Table1[[#This Row],[Female% (20-24)]]</f>
        <v>0</v>
      </c>
      <c r="DS135" s="1">
        <f>$CU135*Table1[[#This Row],[Male% (20-24)]]</f>
        <v>0</v>
      </c>
      <c r="DT135" s="1">
        <f>$AF135*Table1[[#This Row],[Total% (25-29)]]</f>
        <v>0</v>
      </c>
      <c r="DU135" s="1">
        <f>$CT135*Table1[[#This Row],[Female% (25-29)]]</f>
        <v>0</v>
      </c>
      <c r="DV135" s="1">
        <f>$CU135*Table1[[#This Row],[Male% (25-29)]]</f>
        <v>0</v>
      </c>
      <c r="DW135" s="1">
        <f>$AF135*Table1[[#This Row],[Total%   (30-34)]]</f>
        <v>0</v>
      </c>
      <c r="DX135" s="1">
        <f>$CT135*Table1[[#This Row],[Female%   (30-34)]]</f>
        <v>0</v>
      </c>
      <c r="DY135" s="1">
        <f>$CU135*Table1[[#This Row],[Male%  (30-34)]]</f>
        <v>0</v>
      </c>
      <c r="DZ135" s="1">
        <f>$AF135*Table1[[#This Row],[Total% (35-39)]]</f>
        <v>0</v>
      </c>
      <c r="EA135" s="1">
        <f>$CT135*Table1[[#This Row],[Female% (35-39)]]</f>
        <v>0</v>
      </c>
      <c r="EB135" s="1">
        <f>$CU135*Table1[[#This Row],[Male% (35-39)]]</f>
        <v>0</v>
      </c>
      <c r="EC135" s="1">
        <f>$AF135*Table1[[#This Row],[Total% (40-44)]]</f>
        <v>0</v>
      </c>
      <c r="ED135" s="1">
        <f>$CT135*Table1[[#This Row],[Female% (40-44)]]</f>
        <v>0</v>
      </c>
      <c r="EE135" s="1">
        <f>$CU135*Table1[[#This Row],[Male%(55-59)]]</f>
        <v>0</v>
      </c>
      <c r="EF135" s="1">
        <f>$AF135*Table1[[#This Row],[Total% (45-49)]]</f>
        <v>0</v>
      </c>
      <c r="EG135" s="1">
        <f>$CT135*Table1[[#This Row],[Female% (45-49)]]</f>
        <v>0</v>
      </c>
      <c r="EH135" s="1">
        <f>$CU135*Table1[[#This Row],[Male% (45-49)]]</f>
        <v>0</v>
      </c>
      <c r="EI135" s="1">
        <f>$AF135*Table1[[#This Row],[Total% (50-54)]]</f>
        <v>0</v>
      </c>
      <c r="EJ135" s="1">
        <f>$CT135*Table1[[#This Row],[Female%(50-54)]]</f>
        <v>0</v>
      </c>
      <c r="EK135" s="1">
        <f>$CU135*Table1[[#This Row],[Male% (50-54)]]</f>
        <v>0</v>
      </c>
      <c r="EL135" s="1">
        <f>$AF135*Table1[[#This Row],[Total% (55-59)]]</f>
        <v>0</v>
      </c>
      <c r="EM135" s="1">
        <f>$CT135*Table1[[#This Row],[Female% (55-59)]]</f>
        <v>0</v>
      </c>
      <c r="EN135" s="1">
        <f>$CU135*Table1[[#This Row],[Male% (55-59)]]</f>
        <v>0</v>
      </c>
      <c r="EO135" s="1">
        <f>$AF135*Table1[[#This Row],[Total% (60-64)]]</f>
        <v>0</v>
      </c>
      <c r="EP135" s="1">
        <f>$CT135*Table1[[#This Row],[Female%(60-64)]]</f>
        <v>0</v>
      </c>
      <c r="EQ135" s="1">
        <f>$CU135*Table1[[#This Row],[Male%(60-64)]]</f>
        <v>0</v>
      </c>
      <c r="ER135" s="1">
        <f>$AF135*Table1[[#This Row],[Total% (&gt;=65)]]</f>
        <v>0</v>
      </c>
      <c r="ES135" s="1">
        <f>$CT135*Table1[[#This Row],[Female%(&gt;=65)]]</f>
        <v>0</v>
      </c>
      <c r="ET135" s="1">
        <f>$CU135*Table1[[#This Row],[Male% (&gt;=65)]]</f>
        <v>0</v>
      </c>
    </row>
    <row r="136" spans="1:150" hidden="1" x14ac:dyDescent="0.35">
      <c r="A136" t="s">
        <v>12</v>
      </c>
      <c r="B136" t="s">
        <v>13</v>
      </c>
      <c r="C136" t="s">
        <v>42</v>
      </c>
      <c r="D136" t="s">
        <v>43</v>
      </c>
      <c r="E136" t="s">
        <v>536</v>
      </c>
      <c r="F136" t="s">
        <v>537</v>
      </c>
      <c r="H136">
        <v>2</v>
      </c>
      <c r="I136" s="1">
        <v>0</v>
      </c>
      <c r="J136" s="1">
        <v>11806</v>
      </c>
      <c r="K136" s="1">
        <v>356</v>
      </c>
      <c r="L136" s="1">
        <v>0</v>
      </c>
      <c r="M136" s="1">
        <v>0</v>
      </c>
      <c r="N136" s="1">
        <v>356</v>
      </c>
      <c r="O136" s="3">
        <v>1</v>
      </c>
      <c r="P136" s="3">
        <v>0</v>
      </c>
      <c r="Q136" s="3">
        <v>0</v>
      </c>
      <c r="R136" s="3">
        <v>0</v>
      </c>
      <c r="S136" s="3">
        <v>0</v>
      </c>
      <c r="T136" s="1">
        <v>12162</v>
      </c>
      <c r="U136" s="1">
        <v>0</v>
      </c>
      <c r="V136" s="10">
        <f>Table1[[#This Row],[Pop NW+RATAA]]*Table1[[#This Row],[Perc_pop_Northern_Aleppo]]</f>
        <v>0</v>
      </c>
      <c r="W136" s="10">
        <f>Table1[[#This Row],[Pop NW+RATAA]]*Table1[[#This Row],[Perc_pop_Afrin District]]</f>
        <v>0</v>
      </c>
      <c r="X136" s="10">
        <f>Table1[[#This Row],[Pop NW+RATAA]]*Table1[[#This Row],[Perc_pop_Euphrates Shiled]]</f>
        <v>0</v>
      </c>
      <c r="Y136" s="10">
        <f>Table1[[#This Row],[Pop NW+RATAA]]*Table1[[#This Row],[Perc_Pop_Idleb_NSAG]]</f>
        <v>0</v>
      </c>
      <c r="Z136" s="3">
        <v>0</v>
      </c>
      <c r="AA136" s="3">
        <v>0</v>
      </c>
      <c r="AB136" s="3">
        <v>0</v>
      </c>
      <c r="AC136" s="3">
        <v>0</v>
      </c>
      <c r="AD136" s="1">
        <v>356</v>
      </c>
      <c r="AE136" s="1">
        <v>0</v>
      </c>
      <c r="AF136" s="1">
        <v>0</v>
      </c>
      <c r="AG136" s="1">
        <v>0</v>
      </c>
      <c r="AH136" s="1">
        <v>0</v>
      </c>
      <c r="AI136" s="1">
        <f>Table1[[#This Row],[NWS_pin]]*Table1[[#This Row],[Perc_pop_Northern_Aleppo]]</f>
        <v>0</v>
      </c>
      <c r="AJ136" s="1">
        <f>Table1[[#This Row],[NWS_pin]]*Table1[[#This Row],[Perc_pop_Afrin District]]</f>
        <v>0</v>
      </c>
      <c r="AK136" s="1">
        <f>Table1[[#This Row],[NWS_pin]]*Table1[[#This Row],[Perc_pop_Euphrates Shiled]]</f>
        <v>0</v>
      </c>
      <c r="AL136" s="1">
        <f>Table1[[#This Row],[NWS_pin]]*Table1[[#This Row],[Perc_Pop_Idleb_NSAG]]</f>
        <v>0</v>
      </c>
      <c r="AM136" s="4">
        <v>0.47933692675150702</v>
      </c>
      <c r="AN136" s="4">
        <v>0.52066307324849304</v>
      </c>
      <c r="AO136" s="4">
        <v>0.170870708165272</v>
      </c>
      <c r="AP136" s="4">
        <v>0.45506106397767399</v>
      </c>
      <c r="AQ136" s="4">
        <v>0.50642041520736403</v>
      </c>
      <c r="AR136" s="4">
        <v>6.6972166720063401E-3</v>
      </c>
      <c r="AS136" s="4">
        <v>0</v>
      </c>
      <c r="AT136" s="4">
        <v>3.1821304142955302E-2</v>
      </c>
      <c r="AU136" s="4">
        <v>2.6990867810755E-2</v>
      </c>
      <c r="AV136" s="4">
        <v>3.6854185825327901E-2</v>
      </c>
      <c r="AW136" s="4">
        <v>1.7910422533196899E-2</v>
      </c>
      <c r="AX136" s="4">
        <v>4.36481862130738E-2</v>
      </c>
      <c r="AY136" s="4">
        <v>3.2887208060337098E-2</v>
      </c>
      <c r="AZ136" s="4">
        <v>5.35550424154747E-2</v>
      </c>
      <c r="BA136" s="4">
        <v>6.1565398719008499E-2</v>
      </c>
      <c r="BB136" s="4">
        <v>6.0862350592706303E-2</v>
      </c>
      <c r="BC136" s="4">
        <v>6.2212644405393702E-2</v>
      </c>
      <c r="BD136" s="4">
        <v>5.8104473726565797E-2</v>
      </c>
      <c r="BE136" s="4">
        <v>4.8737465242035698E-2</v>
      </c>
      <c r="BF136" s="4">
        <v>6.6728002627542998E-2</v>
      </c>
      <c r="BG136" s="4">
        <v>6.6369727203550805E-2</v>
      </c>
      <c r="BH136" s="4">
        <v>3.6748817391914899E-2</v>
      </c>
      <c r="BI136" s="4">
        <v>9.3639561778350297E-2</v>
      </c>
      <c r="BJ136" s="4">
        <v>6.7603702932975906E-2</v>
      </c>
      <c r="BK136" s="4">
        <v>6.0969181776032597E-2</v>
      </c>
      <c r="BL136" s="4">
        <v>7.3711627894881795E-2</v>
      </c>
      <c r="BM136" s="4">
        <v>4.11190654569265E-2</v>
      </c>
      <c r="BN136" s="4">
        <v>3.5620986769073999E-2</v>
      </c>
      <c r="BO136" s="4">
        <v>4.6180749829567699E-2</v>
      </c>
      <c r="BP136" s="4">
        <v>8.3923768162173798E-2</v>
      </c>
      <c r="BQ136" s="4">
        <v>7.8946529529995202E-2</v>
      </c>
      <c r="BR136" s="4">
        <v>8.8505952673113106E-2</v>
      </c>
      <c r="BS136" s="4">
        <v>7.9094270808664602E-2</v>
      </c>
      <c r="BT136" s="4">
        <v>0.10651649033636799</v>
      </c>
      <c r="BU136" s="4">
        <v>5.3848611747221803E-2</v>
      </c>
      <c r="BV136" s="4">
        <v>4.4054103735729898E-2</v>
      </c>
      <c r="BW136" s="4">
        <v>7.3335219103796298E-2</v>
      </c>
      <c r="BX136" s="4">
        <v>1.7097093389642399E-2</v>
      </c>
      <c r="BY136" s="4">
        <v>9.12486585367593E-2</v>
      </c>
      <c r="BZ136" s="4">
        <v>9.9784763916199198E-2</v>
      </c>
      <c r="CA136" s="4">
        <v>8.3390082176659205E-2</v>
      </c>
      <c r="CB136" s="4">
        <v>8.2590809388031705E-2</v>
      </c>
      <c r="CC136" s="4">
        <v>7.7749747902618405E-2</v>
      </c>
      <c r="CD136" s="4">
        <v>8.70476254248502E-2</v>
      </c>
      <c r="CE136" s="4">
        <v>7.2659720107187006E-2</v>
      </c>
      <c r="CF136" s="4">
        <v>6.6679656558425907E-2</v>
      </c>
      <c r="CG136" s="4">
        <v>7.8165133167033093E-2</v>
      </c>
      <c r="CH136" s="4">
        <v>6.3243226606449002E-2</v>
      </c>
      <c r="CI136" s="4">
        <v>6.8217057157003297E-2</v>
      </c>
      <c r="CJ136" s="4">
        <v>5.8664179670374801E-2</v>
      </c>
      <c r="CK136" s="4">
        <v>5.6104842144649697E-2</v>
      </c>
      <c r="CL136" s="4">
        <v>4.6650171555345003E-2</v>
      </c>
      <c r="CM136" s="4">
        <v>6.4809075220849194E-2</v>
      </c>
      <c r="CN136" s="4">
        <v>2.7349179662905902E-2</v>
      </c>
      <c r="CO136" s="4">
        <v>2.39380536508422E-2</v>
      </c>
      <c r="CP136" s="4">
        <v>3.0489557276365702E-2</v>
      </c>
      <c r="CQ136" s="4">
        <v>3.43299987845926E-2</v>
      </c>
      <c r="CR136" s="4">
        <v>4.5502114631978202E-2</v>
      </c>
      <c r="CS136" s="4">
        <v>2.4044637769482301E-2</v>
      </c>
      <c r="CT136" s="1">
        <f>Table1[[#This Row],[Female %]]*Table1[[#This Row],[NWS_pin]]</f>
        <v>0</v>
      </c>
      <c r="CU136" s="1">
        <f>Table1[[#This Row],[Male %]]*Table1[[#This Row],[NWS_pin]]</f>
        <v>0</v>
      </c>
      <c r="CV136" s="1">
        <f>Table1[[#This Row],[Female% (0-2)22]]+Table1[[#This Row],[Male%(0-2)3]]</f>
        <v>0</v>
      </c>
      <c r="CW136" s="1">
        <f>$CT136*Table1[[#This Row],[Female% (0-2)]]</f>
        <v>0</v>
      </c>
      <c r="CX136" s="1">
        <f>$CU136*Table1[[#This Row],[Male%(0-2)]]</f>
        <v>0</v>
      </c>
      <c r="CY136" s="1">
        <f>Table1[[#This Row],[Female%  (3-5)5]]+Table1[[#This Row],[Male% (3-5)6]]</f>
        <v>0</v>
      </c>
      <c r="CZ136" s="1">
        <f>$AF136*Table1[[#This Row],[Female%  (3-5)]]</f>
        <v>0</v>
      </c>
      <c r="DA136" s="1">
        <f>$CU136*Table1[[#This Row],[Male% (3-5)]]</f>
        <v>0</v>
      </c>
      <c r="DB136" s="1">
        <f>Table1[[#This Row],[Female% (6-8)8]]+Table1[[#This Row],[Male%(6-8)9]]</f>
        <v>0</v>
      </c>
      <c r="DC136" s="1">
        <f>$CT136*Table1[[#This Row],[Female% (6-8)]]</f>
        <v>0</v>
      </c>
      <c r="DD136" s="1">
        <f>$CU136*Table1[[#This Row],[Male%(6-8)]]</f>
        <v>0</v>
      </c>
      <c r="DE136" s="1">
        <f>Table1[[#This Row],[Female% (9 - 11)11]]+Table1[[#This Row],[Male% (9 - 11)12]]</f>
        <v>0</v>
      </c>
      <c r="DF136" s="1">
        <f>$CT136*Table1[[#This Row],[Female% (9 - 11)]]</f>
        <v>0</v>
      </c>
      <c r="DG136" s="1">
        <f>$CU136*Table1[[#This Row],[Male% (9 - 11)]]</f>
        <v>0</v>
      </c>
      <c r="DH136" s="1">
        <f>Table1[[#This Row],[Female% (12-14)14]]+Table1[[#This Row],[Male%(12-14)15]]</f>
        <v>0</v>
      </c>
      <c r="DI136" s="1">
        <f>$CT136*Table1[[#This Row],[Female% (12-14)]]</f>
        <v>0</v>
      </c>
      <c r="DJ136" s="1">
        <f>$CU136*Table1[[#This Row],[Male%(12-14)]]</f>
        <v>0</v>
      </c>
      <c r="DK136" s="1">
        <f>Table1[[#This Row],[Female% (15-17)17]]+Table1[[#This Row],[Male%(15-17)18]]</f>
        <v>0</v>
      </c>
      <c r="DL136" s="1">
        <f>$CT136*Table1[[#This Row],[Female% (15-17)]]</f>
        <v>0</v>
      </c>
      <c r="DM136" s="1">
        <f>$CU136*Table1[[#This Row],[Male%(15-17)]]</f>
        <v>0</v>
      </c>
      <c r="DN136" s="1">
        <f>$AF136*Table1[[#This Row],[Total% (18-19)]]</f>
        <v>0</v>
      </c>
      <c r="DO136" s="1">
        <f>$CT136*Table1[[#This Row],[Female% (18-19)]]</f>
        <v>0</v>
      </c>
      <c r="DP136" s="1">
        <f>$CU136*Table1[[#This Row],[Male%(18-19)]]</f>
        <v>0</v>
      </c>
      <c r="DQ136" s="1">
        <f>$AF136*Table1[[#This Row],[Total% (20-24)]]</f>
        <v>0</v>
      </c>
      <c r="DR136" s="1">
        <f>$CT136*Table1[[#This Row],[Female% (20-24)]]</f>
        <v>0</v>
      </c>
      <c r="DS136" s="1">
        <f>$CU136*Table1[[#This Row],[Male% (20-24)]]</f>
        <v>0</v>
      </c>
      <c r="DT136" s="1">
        <f>$AF136*Table1[[#This Row],[Total% (25-29)]]</f>
        <v>0</v>
      </c>
      <c r="DU136" s="1">
        <f>$CT136*Table1[[#This Row],[Female% (25-29)]]</f>
        <v>0</v>
      </c>
      <c r="DV136" s="1">
        <f>$CU136*Table1[[#This Row],[Male% (25-29)]]</f>
        <v>0</v>
      </c>
      <c r="DW136" s="1">
        <f>$AF136*Table1[[#This Row],[Total%   (30-34)]]</f>
        <v>0</v>
      </c>
      <c r="DX136" s="1">
        <f>$CT136*Table1[[#This Row],[Female%   (30-34)]]</f>
        <v>0</v>
      </c>
      <c r="DY136" s="1">
        <f>$CU136*Table1[[#This Row],[Male%  (30-34)]]</f>
        <v>0</v>
      </c>
      <c r="DZ136" s="1">
        <f>$AF136*Table1[[#This Row],[Total% (35-39)]]</f>
        <v>0</v>
      </c>
      <c r="EA136" s="1">
        <f>$CT136*Table1[[#This Row],[Female% (35-39)]]</f>
        <v>0</v>
      </c>
      <c r="EB136" s="1">
        <f>$CU136*Table1[[#This Row],[Male% (35-39)]]</f>
        <v>0</v>
      </c>
      <c r="EC136" s="1">
        <f>$AF136*Table1[[#This Row],[Total% (40-44)]]</f>
        <v>0</v>
      </c>
      <c r="ED136" s="1">
        <f>$CT136*Table1[[#This Row],[Female% (40-44)]]</f>
        <v>0</v>
      </c>
      <c r="EE136" s="1">
        <f>$CU136*Table1[[#This Row],[Male%(55-59)]]</f>
        <v>0</v>
      </c>
      <c r="EF136" s="1">
        <f>$AF136*Table1[[#This Row],[Total% (45-49)]]</f>
        <v>0</v>
      </c>
      <c r="EG136" s="1">
        <f>$CT136*Table1[[#This Row],[Female% (45-49)]]</f>
        <v>0</v>
      </c>
      <c r="EH136" s="1">
        <f>$CU136*Table1[[#This Row],[Male% (45-49)]]</f>
        <v>0</v>
      </c>
      <c r="EI136" s="1">
        <f>$AF136*Table1[[#This Row],[Total% (50-54)]]</f>
        <v>0</v>
      </c>
      <c r="EJ136" s="1">
        <f>$CT136*Table1[[#This Row],[Female%(50-54)]]</f>
        <v>0</v>
      </c>
      <c r="EK136" s="1">
        <f>$CU136*Table1[[#This Row],[Male% (50-54)]]</f>
        <v>0</v>
      </c>
      <c r="EL136" s="1">
        <f>$AF136*Table1[[#This Row],[Total% (55-59)]]</f>
        <v>0</v>
      </c>
      <c r="EM136" s="1">
        <f>$CT136*Table1[[#This Row],[Female% (55-59)]]</f>
        <v>0</v>
      </c>
      <c r="EN136" s="1">
        <f>$CU136*Table1[[#This Row],[Male% (55-59)]]</f>
        <v>0</v>
      </c>
      <c r="EO136" s="1">
        <f>$AF136*Table1[[#This Row],[Total% (60-64)]]</f>
        <v>0</v>
      </c>
      <c r="EP136" s="1">
        <f>$CT136*Table1[[#This Row],[Female%(60-64)]]</f>
        <v>0</v>
      </c>
      <c r="EQ136" s="1">
        <f>$CU136*Table1[[#This Row],[Male%(60-64)]]</f>
        <v>0</v>
      </c>
      <c r="ER136" s="1">
        <f>$AF136*Table1[[#This Row],[Total% (&gt;=65)]]</f>
        <v>0</v>
      </c>
      <c r="ES136" s="1">
        <f>$CT136*Table1[[#This Row],[Female%(&gt;=65)]]</f>
        <v>0</v>
      </c>
      <c r="ET136" s="1">
        <f>$CU136*Table1[[#This Row],[Male% (&gt;=65)]]</f>
        <v>0</v>
      </c>
    </row>
    <row r="137" spans="1:150" hidden="1" x14ac:dyDescent="0.35">
      <c r="A137" t="s">
        <v>12</v>
      </c>
      <c r="B137" t="s">
        <v>13</v>
      </c>
      <c r="C137" t="s">
        <v>42</v>
      </c>
      <c r="D137" t="s">
        <v>43</v>
      </c>
      <c r="E137" t="s">
        <v>524</v>
      </c>
      <c r="F137" t="s">
        <v>525</v>
      </c>
      <c r="H137">
        <v>2</v>
      </c>
      <c r="I137" s="1">
        <v>0</v>
      </c>
      <c r="J137" s="1">
        <v>10821</v>
      </c>
      <c r="K137" s="1">
        <v>438</v>
      </c>
      <c r="L137" s="1">
        <v>0</v>
      </c>
      <c r="M137" s="1">
        <v>0</v>
      </c>
      <c r="N137" s="1">
        <v>438</v>
      </c>
      <c r="O137" s="3">
        <v>1</v>
      </c>
      <c r="P137" s="3">
        <v>0</v>
      </c>
      <c r="Q137" s="3">
        <v>0</v>
      </c>
      <c r="R137" s="3">
        <v>0</v>
      </c>
      <c r="S137" s="3">
        <v>0</v>
      </c>
      <c r="T137" s="1">
        <v>11259</v>
      </c>
      <c r="U137" s="1">
        <v>0</v>
      </c>
      <c r="V137" s="10">
        <f>Table1[[#This Row],[Pop NW+RATAA]]*Table1[[#This Row],[Perc_pop_Northern_Aleppo]]</f>
        <v>0</v>
      </c>
      <c r="W137" s="10">
        <f>Table1[[#This Row],[Pop NW+RATAA]]*Table1[[#This Row],[Perc_pop_Afrin District]]</f>
        <v>0</v>
      </c>
      <c r="X137" s="10">
        <f>Table1[[#This Row],[Pop NW+RATAA]]*Table1[[#This Row],[Perc_pop_Euphrates Shiled]]</f>
        <v>0</v>
      </c>
      <c r="Y137" s="10">
        <f>Table1[[#This Row],[Pop NW+RATAA]]*Table1[[#This Row],[Perc_Pop_Idleb_NSAG]]</f>
        <v>0</v>
      </c>
      <c r="Z137" s="3">
        <v>0</v>
      </c>
      <c r="AA137" s="3">
        <v>0</v>
      </c>
      <c r="AB137" s="3">
        <v>0</v>
      </c>
      <c r="AC137" s="3">
        <v>0</v>
      </c>
      <c r="AD137" s="1">
        <v>438</v>
      </c>
      <c r="AE137" s="1">
        <v>0</v>
      </c>
      <c r="AF137" s="1">
        <v>0</v>
      </c>
      <c r="AG137" s="1">
        <v>0</v>
      </c>
      <c r="AH137" s="1">
        <v>0</v>
      </c>
      <c r="AI137" s="1">
        <f>Table1[[#This Row],[NWS_pin]]*Table1[[#This Row],[Perc_pop_Northern_Aleppo]]</f>
        <v>0</v>
      </c>
      <c r="AJ137" s="1">
        <f>Table1[[#This Row],[NWS_pin]]*Table1[[#This Row],[Perc_pop_Afrin District]]</f>
        <v>0</v>
      </c>
      <c r="AK137" s="1">
        <f>Table1[[#This Row],[NWS_pin]]*Table1[[#This Row],[Perc_pop_Euphrates Shiled]]</f>
        <v>0</v>
      </c>
      <c r="AL137" s="1">
        <f>Table1[[#This Row],[NWS_pin]]*Table1[[#This Row],[Perc_Pop_Idleb_NSAG]]</f>
        <v>0</v>
      </c>
      <c r="AM137" s="4">
        <v>0.430552969329276</v>
      </c>
      <c r="AN137" s="4">
        <v>0.569447030670724</v>
      </c>
      <c r="AO137" s="4">
        <v>0.119000151034587</v>
      </c>
      <c r="AP137" s="4">
        <v>0.40650323947531503</v>
      </c>
      <c r="AQ137" s="4">
        <v>0.55242707766370802</v>
      </c>
      <c r="AR137" s="4">
        <v>3.2083345779338E-3</v>
      </c>
      <c r="AS137" s="4">
        <v>0</v>
      </c>
      <c r="AT137" s="4">
        <v>3.7861348283043397E-2</v>
      </c>
      <c r="AU137" s="4">
        <v>3.2560920979410997E-2</v>
      </c>
      <c r="AV137" s="4">
        <v>2.6555431825246899E-2</v>
      </c>
      <c r="AW137" s="4">
        <v>3.7101608784130199E-2</v>
      </c>
      <c r="AX137" s="4">
        <v>6.0129565217715397E-2</v>
      </c>
      <c r="AY137" s="4">
        <v>5.6192034030519103E-2</v>
      </c>
      <c r="AZ137" s="4">
        <v>6.3106691540557397E-2</v>
      </c>
      <c r="BA137" s="4">
        <v>7.8022002004726407E-2</v>
      </c>
      <c r="BB137" s="4">
        <v>7.8227080292937595E-2</v>
      </c>
      <c r="BC137" s="4">
        <v>7.7866944446817493E-2</v>
      </c>
      <c r="BD137" s="4">
        <v>5.95540752794263E-2</v>
      </c>
      <c r="BE137" s="4">
        <v>4.2805590901358E-2</v>
      </c>
      <c r="BF137" s="4">
        <v>7.2217429888982596E-2</v>
      </c>
      <c r="BG137" s="4">
        <v>5.42075255524503E-2</v>
      </c>
      <c r="BH137" s="4">
        <v>2.54780675788834E-2</v>
      </c>
      <c r="BI137" s="4">
        <v>7.5929569520561596E-2</v>
      </c>
      <c r="BJ137" s="4">
        <v>7.1774347410046194E-2</v>
      </c>
      <c r="BK137" s="4">
        <v>5.24939036914207E-2</v>
      </c>
      <c r="BL137" s="4">
        <v>8.6352090107663898E-2</v>
      </c>
      <c r="BM137" s="4">
        <v>2.5520542375894999E-2</v>
      </c>
      <c r="BN137" s="4">
        <v>1.7948351832677699E-2</v>
      </c>
      <c r="BO137" s="4">
        <v>3.1245796784315001E-2</v>
      </c>
      <c r="BP137" s="4">
        <v>6.8211325743821605E-2</v>
      </c>
      <c r="BQ137" s="4">
        <v>5.36306311273059E-2</v>
      </c>
      <c r="BR137" s="4">
        <v>7.9235637091322905E-2</v>
      </c>
      <c r="BS137" s="4">
        <v>5.7729860642988601E-2</v>
      </c>
      <c r="BT137" s="4">
        <v>6.3049190962758406E-2</v>
      </c>
      <c r="BU137" s="4">
        <v>5.3707970386887703E-2</v>
      </c>
      <c r="BV137" s="4">
        <v>7.2529534916980901E-2</v>
      </c>
      <c r="BW137" s="4">
        <v>0.13643680027889499</v>
      </c>
      <c r="BX137" s="4">
        <v>2.4209917145197501E-2</v>
      </c>
      <c r="BY137" s="4">
        <v>0.100041012549395</v>
      </c>
      <c r="BZ137" s="4">
        <v>9.47675567042741E-2</v>
      </c>
      <c r="CA137" s="4">
        <v>0.10402821759297901</v>
      </c>
      <c r="CB137" s="4">
        <v>8.9992287042754596E-2</v>
      </c>
      <c r="CC137" s="4">
        <v>0.11126746046401099</v>
      </c>
      <c r="CD137" s="4">
        <v>7.3906349991282205E-2</v>
      </c>
      <c r="CE137" s="4">
        <v>7.9221918153742896E-2</v>
      </c>
      <c r="CF137" s="4">
        <v>6.7729612423112096E-2</v>
      </c>
      <c r="CG137" s="4">
        <v>8.7911130828949705E-2</v>
      </c>
      <c r="CH137" s="4">
        <v>5.8965923790941698E-2</v>
      </c>
      <c r="CI137" s="4">
        <v>7.4431903201706895E-2</v>
      </c>
      <c r="CJ137" s="4">
        <v>4.7272257830391899E-2</v>
      </c>
      <c r="CK137" s="4">
        <v>3.55946790487046E-2</v>
      </c>
      <c r="CL137" s="4">
        <v>2.65218965983159E-2</v>
      </c>
      <c r="CM137" s="4">
        <v>4.24545153700783E-2</v>
      </c>
      <c r="CN137" s="4">
        <v>3.0107540592186101E-2</v>
      </c>
      <c r="CO137" s="4">
        <v>3.3449462371933802E-2</v>
      </c>
      <c r="CP137" s="4">
        <v>2.7580748339284599E-2</v>
      </c>
      <c r="CQ137" s="4">
        <v>2.5836938698813101E-2</v>
      </c>
      <c r="CR137" s="4">
        <v>3.9015025714643402E-2</v>
      </c>
      <c r="CS137" s="4">
        <v>1.5873124350598199E-2</v>
      </c>
      <c r="CT137" s="1">
        <f>Table1[[#This Row],[Female %]]*Table1[[#This Row],[NWS_pin]]</f>
        <v>0</v>
      </c>
      <c r="CU137" s="1">
        <f>Table1[[#This Row],[Male %]]*Table1[[#This Row],[NWS_pin]]</f>
        <v>0</v>
      </c>
      <c r="CV137" s="1">
        <f>Table1[[#This Row],[Female% (0-2)22]]+Table1[[#This Row],[Male%(0-2)3]]</f>
        <v>0</v>
      </c>
      <c r="CW137" s="1">
        <f>$CT137*Table1[[#This Row],[Female% (0-2)]]</f>
        <v>0</v>
      </c>
      <c r="CX137" s="1">
        <f>$CU137*Table1[[#This Row],[Male%(0-2)]]</f>
        <v>0</v>
      </c>
      <c r="CY137" s="1">
        <f>Table1[[#This Row],[Female%  (3-5)5]]+Table1[[#This Row],[Male% (3-5)6]]</f>
        <v>0</v>
      </c>
      <c r="CZ137" s="1">
        <f>$AF137*Table1[[#This Row],[Female%  (3-5)]]</f>
        <v>0</v>
      </c>
      <c r="DA137" s="1">
        <f>$CU137*Table1[[#This Row],[Male% (3-5)]]</f>
        <v>0</v>
      </c>
      <c r="DB137" s="1">
        <f>Table1[[#This Row],[Female% (6-8)8]]+Table1[[#This Row],[Male%(6-8)9]]</f>
        <v>0</v>
      </c>
      <c r="DC137" s="1">
        <f>$CT137*Table1[[#This Row],[Female% (6-8)]]</f>
        <v>0</v>
      </c>
      <c r="DD137" s="1">
        <f>$CU137*Table1[[#This Row],[Male%(6-8)]]</f>
        <v>0</v>
      </c>
      <c r="DE137" s="1">
        <f>Table1[[#This Row],[Female% (9 - 11)11]]+Table1[[#This Row],[Male% (9 - 11)12]]</f>
        <v>0</v>
      </c>
      <c r="DF137" s="1">
        <f>$CT137*Table1[[#This Row],[Female% (9 - 11)]]</f>
        <v>0</v>
      </c>
      <c r="DG137" s="1">
        <f>$CU137*Table1[[#This Row],[Male% (9 - 11)]]</f>
        <v>0</v>
      </c>
      <c r="DH137" s="1">
        <f>Table1[[#This Row],[Female% (12-14)14]]+Table1[[#This Row],[Male%(12-14)15]]</f>
        <v>0</v>
      </c>
      <c r="DI137" s="1">
        <f>$CT137*Table1[[#This Row],[Female% (12-14)]]</f>
        <v>0</v>
      </c>
      <c r="DJ137" s="1">
        <f>$CU137*Table1[[#This Row],[Male%(12-14)]]</f>
        <v>0</v>
      </c>
      <c r="DK137" s="1">
        <f>Table1[[#This Row],[Female% (15-17)17]]+Table1[[#This Row],[Male%(15-17)18]]</f>
        <v>0</v>
      </c>
      <c r="DL137" s="1">
        <f>$CT137*Table1[[#This Row],[Female% (15-17)]]</f>
        <v>0</v>
      </c>
      <c r="DM137" s="1">
        <f>$CU137*Table1[[#This Row],[Male%(15-17)]]</f>
        <v>0</v>
      </c>
      <c r="DN137" s="1">
        <f>$AF137*Table1[[#This Row],[Total% (18-19)]]</f>
        <v>0</v>
      </c>
      <c r="DO137" s="1">
        <f>$CT137*Table1[[#This Row],[Female% (18-19)]]</f>
        <v>0</v>
      </c>
      <c r="DP137" s="1">
        <f>$CU137*Table1[[#This Row],[Male%(18-19)]]</f>
        <v>0</v>
      </c>
      <c r="DQ137" s="1">
        <f>$AF137*Table1[[#This Row],[Total% (20-24)]]</f>
        <v>0</v>
      </c>
      <c r="DR137" s="1">
        <f>$CT137*Table1[[#This Row],[Female% (20-24)]]</f>
        <v>0</v>
      </c>
      <c r="DS137" s="1">
        <f>$CU137*Table1[[#This Row],[Male% (20-24)]]</f>
        <v>0</v>
      </c>
      <c r="DT137" s="1">
        <f>$AF137*Table1[[#This Row],[Total% (25-29)]]</f>
        <v>0</v>
      </c>
      <c r="DU137" s="1">
        <f>$CT137*Table1[[#This Row],[Female% (25-29)]]</f>
        <v>0</v>
      </c>
      <c r="DV137" s="1">
        <f>$CU137*Table1[[#This Row],[Male% (25-29)]]</f>
        <v>0</v>
      </c>
      <c r="DW137" s="1">
        <f>$AF137*Table1[[#This Row],[Total%   (30-34)]]</f>
        <v>0</v>
      </c>
      <c r="DX137" s="1">
        <f>$CT137*Table1[[#This Row],[Female%   (30-34)]]</f>
        <v>0</v>
      </c>
      <c r="DY137" s="1">
        <f>$CU137*Table1[[#This Row],[Male%  (30-34)]]</f>
        <v>0</v>
      </c>
      <c r="DZ137" s="1">
        <f>$AF137*Table1[[#This Row],[Total% (35-39)]]</f>
        <v>0</v>
      </c>
      <c r="EA137" s="1">
        <f>$CT137*Table1[[#This Row],[Female% (35-39)]]</f>
        <v>0</v>
      </c>
      <c r="EB137" s="1">
        <f>$CU137*Table1[[#This Row],[Male% (35-39)]]</f>
        <v>0</v>
      </c>
      <c r="EC137" s="1">
        <f>$AF137*Table1[[#This Row],[Total% (40-44)]]</f>
        <v>0</v>
      </c>
      <c r="ED137" s="1">
        <f>$CT137*Table1[[#This Row],[Female% (40-44)]]</f>
        <v>0</v>
      </c>
      <c r="EE137" s="1">
        <f>$CU137*Table1[[#This Row],[Male%(55-59)]]</f>
        <v>0</v>
      </c>
      <c r="EF137" s="1">
        <f>$AF137*Table1[[#This Row],[Total% (45-49)]]</f>
        <v>0</v>
      </c>
      <c r="EG137" s="1">
        <f>$CT137*Table1[[#This Row],[Female% (45-49)]]</f>
        <v>0</v>
      </c>
      <c r="EH137" s="1">
        <f>$CU137*Table1[[#This Row],[Male% (45-49)]]</f>
        <v>0</v>
      </c>
      <c r="EI137" s="1">
        <f>$AF137*Table1[[#This Row],[Total% (50-54)]]</f>
        <v>0</v>
      </c>
      <c r="EJ137" s="1">
        <f>$CT137*Table1[[#This Row],[Female%(50-54)]]</f>
        <v>0</v>
      </c>
      <c r="EK137" s="1">
        <f>$CU137*Table1[[#This Row],[Male% (50-54)]]</f>
        <v>0</v>
      </c>
      <c r="EL137" s="1">
        <f>$AF137*Table1[[#This Row],[Total% (55-59)]]</f>
        <v>0</v>
      </c>
      <c r="EM137" s="1">
        <f>$CT137*Table1[[#This Row],[Female% (55-59)]]</f>
        <v>0</v>
      </c>
      <c r="EN137" s="1">
        <f>$CU137*Table1[[#This Row],[Male% (55-59)]]</f>
        <v>0</v>
      </c>
      <c r="EO137" s="1">
        <f>$AF137*Table1[[#This Row],[Total% (60-64)]]</f>
        <v>0</v>
      </c>
      <c r="EP137" s="1">
        <f>$CT137*Table1[[#This Row],[Female%(60-64)]]</f>
        <v>0</v>
      </c>
      <c r="EQ137" s="1">
        <f>$CU137*Table1[[#This Row],[Male%(60-64)]]</f>
        <v>0</v>
      </c>
      <c r="ER137" s="1">
        <f>$AF137*Table1[[#This Row],[Total% (&gt;=65)]]</f>
        <v>0</v>
      </c>
      <c r="ES137" s="1">
        <f>$CT137*Table1[[#This Row],[Female%(&gt;=65)]]</f>
        <v>0</v>
      </c>
      <c r="ET137" s="1">
        <f>$CU137*Table1[[#This Row],[Male% (&gt;=65)]]</f>
        <v>0</v>
      </c>
    </row>
    <row r="138" spans="1:150" hidden="1" x14ac:dyDescent="0.35">
      <c r="A138" t="s">
        <v>12</v>
      </c>
      <c r="B138" t="s">
        <v>13</v>
      </c>
      <c r="C138" t="s">
        <v>88</v>
      </c>
      <c r="D138" t="s">
        <v>89</v>
      </c>
      <c r="E138" t="s">
        <v>88</v>
      </c>
      <c r="F138" t="s">
        <v>90</v>
      </c>
      <c r="H138">
        <v>2</v>
      </c>
      <c r="I138" s="1">
        <v>34</v>
      </c>
      <c r="J138" s="1">
        <v>23163</v>
      </c>
      <c r="K138" s="1">
        <v>2395</v>
      </c>
      <c r="L138" s="1">
        <v>0</v>
      </c>
      <c r="M138" s="1">
        <v>0</v>
      </c>
      <c r="N138" s="1">
        <v>2395</v>
      </c>
      <c r="O138" s="3">
        <v>1</v>
      </c>
      <c r="P138" s="3">
        <v>0</v>
      </c>
      <c r="Q138" s="3">
        <v>0</v>
      </c>
      <c r="R138" s="3">
        <v>0</v>
      </c>
      <c r="S138" s="3">
        <v>0</v>
      </c>
      <c r="T138" s="1">
        <v>25592</v>
      </c>
      <c r="U138" s="1">
        <v>0</v>
      </c>
      <c r="V138" s="10">
        <f>Table1[[#This Row],[Pop NW+RATAA]]*Table1[[#This Row],[Perc_pop_Northern_Aleppo]]</f>
        <v>0</v>
      </c>
      <c r="W138" s="10">
        <f>Table1[[#This Row],[Pop NW+RATAA]]*Table1[[#This Row],[Perc_pop_Afrin District]]</f>
        <v>0</v>
      </c>
      <c r="X138" s="10">
        <f>Table1[[#This Row],[Pop NW+RATAA]]*Table1[[#This Row],[Perc_pop_Euphrates Shiled]]</f>
        <v>0</v>
      </c>
      <c r="Y138" s="10">
        <f>Table1[[#This Row],[Pop NW+RATAA]]*Table1[[#This Row],[Perc_Pop_Idleb_NSAG]]</f>
        <v>0</v>
      </c>
      <c r="Z138" s="3">
        <v>0</v>
      </c>
      <c r="AA138" s="3">
        <v>0</v>
      </c>
      <c r="AB138" s="3">
        <v>0</v>
      </c>
      <c r="AC138" s="3">
        <v>0</v>
      </c>
      <c r="AD138" s="1">
        <v>2395</v>
      </c>
      <c r="AE138" s="1">
        <v>0</v>
      </c>
      <c r="AF138" s="1">
        <v>0</v>
      </c>
      <c r="AG138" s="1">
        <v>0</v>
      </c>
      <c r="AH138" s="1">
        <v>0</v>
      </c>
      <c r="AI138" s="1">
        <f>Table1[[#This Row],[NWS_pin]]*Table1[[#This Row],[Perc_pop_Northern_Aleppo]]</f>
        <v>0</v>
      </c>
      <c r="AJ138" s="1">
        <f>Table1[[#This Row],[NWS_pin]]*Table1[[#This Row],[Perc_pop_Afrin District]]</f>
        <v>0</v>
      </c>
      <c r="AK138" s="1">
        <f>Table1[[#This Row],[NWS_pin]]*Table1[[#This Row],[Perc_pop_Euphrates Shiled]]</f>
        <v>0</v>
      </c>
      <c r="AL138" s="1">
        <f>Table1[[#This Row],[NWS_pin]]*Table1[[#This Row],[Perc_Pop_Idleb_NSAG]]</f>
        <v>0</v>
      </c>
      <c r="AM138" s="4">
        <v>0.44760423353925699</v>
      </c>
      <c r="AN138" s="4">
        <v>0.55239576646074295</v>
      </c>
      <c r="AO138" s="4">
        <v>0.112803339157445</v>
      </c>
      <c r="AP138" s="4">
        <v>0.43331291349170398</v>
      </c>
      <c r="AQ138" s="4">
        <v>0.53711221469728199</v>
      </c>
      <c r="AR138" s="4">
        <v>2.0678116305929599E-3</v>
      </c>
      <c r="AS138" s="4">
        <v>0</v>
      </c>
      <c r="AT138" s="4">
        <v>2.7507060180421001E-2</v>
      </c>
      <c r="AU138" s="4">
        <v>4.6607520601142899E-2</v>
      </c>
      <c r="AV138" s="4">
        <v>1.6464889219384899E-2</v>
      </c>
      <c r="AW138" s="4">
        <v>7.1031982618534203E-2</v>
      </c>
      <c r="AX138" s="4">
        <v>4.7374665417793602E-2</v>
      </c>
      <c r="AY138" s="4">
        <v>3.6366024644666199E-2</v>
      </c>
      <c r="AZ138" s="4">
        <v>5.6294926061961501E-2</v>
      </c>
      <c r="BA138" s="4">
        <v>5.59065730713506E-2</v>
      </c>
      <c r="BB138" s="4">
        <v>3.2089605112266599E-2</v>
      </c>
      <c r="BC138" s="4">
        <v>7.5205373561546801E-2</v>
      </c>
      <c r="BD138" s="4">
        <v>5.8312127048274598E-2</v>
      </c>
      <c r="BE138" s="4">
        <v>5.0277790143512899E-2</v>
      </c>
      <c r="BF138" s="4">
        <v>6.4822320338301501E-2</v>
      </c>
      <c r="BG138" s="4">
        <v>6.2612319641334901E-2</v>
      </c>
      <c r="BH138" s="4">
        <v>5.1885405374225098E-2</v>
      </c>
      <c r="BI138" s="4">
        <v>7.1304298346266198E-2</v>
      </c>
      <c r="BJ138" s="4">
        <v>5.48848826725883E-2</v>
      </c>
      <c r="BK138" s="4">
        <v>5.2604882159421003E-2</v>
      </c>
      <c r="BL138" s="4">
        <v>5.6732358602217599E-2</v>
      </c>
      <c r="BM138" s="4">
        <v>3.1254941994057303E-2</v>
      </c>
      <c r="BN138" s="4">
        <v>4.3823189912402499E-2</v>
      </c>
      <c r="BO138" s="4">
        <v>2.10709374849966E-2</v>
      </c>
      <c r="BP138" s="4">
        <v>7.4547897438056301E-2</v>
      </c>
      <c r="BQ138" s="4">
        <v>7.6215633619222206E-2</v>
      </c>
      <c r="BR138" s="4">
        <v>7.3196537017792204E-2</v>
      </c>
      <c r="BS138" s="4">
        <v>8.2384926523467197E-2</v>
      </c>
      <c r="BT138" s="4">
        <v>8.2948306141604297E-2</v>
      </c>
      <c r="BU138" s="4">
        <v>8.1928422115796706E-2</v>
      </c>
      <c r="BV138" s="4">
        <v>7.2321816338486694E-2</v>
      </c>
      <c r="BW138" s="4">
        <v>0.10833564798994801</v>
      </c>
      <c r="BX138" s="4">
        <v>4.3139942595234897E-2</v>
      </c>
      <c r="BY138" s="4">
        <v>6.4574734175971801E-2</v>
      </c>
      <c r="BZ138" s="4">
        <v>7.5879564288620804E-2</v>
      </c>
      <c r="CA138" s="4">
        <v>5.5414472412410001E-2</v>
      </c>
      <c r="CB138" s="4">
        <v>8.84903721010184E-2</v>
      </c>
      <c r="CC138" s="4">
        <v>0.115978717281049</v>
      </c>
      <c r="CD138" s="4">
        <v>6.6216668313600999E-2</v>
      </c>
      <c r="CE138" s="4">
        <v>9.0661166012411601E-2</v>
      </c>
      <c r="CF138" s="4">
        <v>6.3079774457351495E-2</v>
      </c>
      <c r="CG138" s="4">
        <v>0.11301026493119599</v>
      </c>
      <c r="CH138" s="4">
        <v>7.7851096447377199E-2</v>
      </c>
      <c r="CI138" s="4">
        <v>0.101113919352139</v>
      </c>
      <c r="CJ138" s="4">
        <v>5.9001317632163902E-2</v>
      </c>
      <c r="CK138" s="4">
        <v>5.4916174659804903E-2</v>
      </c>
      <c r="CL138" s="4">
        <v>5.1270950254842101E-2</v>
      </c>
      <c r="CM138" s="4">
        <v>5.7869886427575797E-2</v>
      </c>
      <c r="CN138" s="4">
        <v>2.46444746138491E-2</v>
      </c>
      <c r="CO138" s="4">
        <v>2.13604663338159E-2</v>
      </c>
      <c r="CP138" s="4">
        <v>2.73054943000406E-2</v>
      </c>
      <c r="CQ138" s="4">
        <v>1.2654311243014599E-2</v>
      </c>
      <c r="CR138" s="4">
        <v>2.0305233715528601E-2</v>
      </c>
      <c r="CS138" s="4">
        <v>6.4547972403646197E-3</v>
      </c>
      <c r="CT138" s="1">
        <f>Table1[[#This Row],[Female %]]*Table1[[#This Row],[NWS_pin]]</f>
        <v>0</v>
      </c>
      <c r="CU138" s="1">
        <f>Table1[[#This Row],[Male %]]*Table1[[#This Row],[NWS_pin]]</f>
        <v>0</v>
      </c>
      <c r="CV138" s="1">
        <f>Table1[[#This Row],[Female% (0-2)22]]+Table1[[#This Row],[Male%(0-2)3]]</f>
        <v>0</v>
      </c>
      <c r="CW138" s="1">
        <f>$CT138*Table1[[#This Row],[Female% (0-2)]]</f>
        <v>0</v>
      </c>
      <c r="CX138" s="1">
        <f>$CU138*Table1[[#This Row],[Male%(0-2)]]</f>
        <v>0</v>
      </c>
      <c r="CY138" s="1">
        <f>Table1[[#This Row],[Female%  (3-5)5]]+Table1[[#This Row],[Male% (3-5)6]]</f>
        <v>0</v>
      </c>
      <c r="CZ138" s="1">
        <f>$AF138*Table1[[#This Row],[Female%  (3-5)]]</f>
        <v>0</v>
      </c>
      <c r="DA138" s="1">
        <f>$CU138*Table1[[#This Row],[Male% (3-5)]]</f>
        <v>0</v>
      </c>
      <c r="DB138" s="1">
        <f>Table1[[#This Row],[Female% (6-8)8]]+Table1[[#This Row],[Male%(6-8)9]]</f>
        <v>0</v>
      </c>
      <c r="DC138" s="1">
        <f>$CT138*Table1[[#This Row],[Female% (6-8)]]</f>
        <v>0</v>
      </c>
      <c r="DD138" s="1">
        <f>$CU138*Table1[[#This Row],[Male%(6-8)]]</f>
        <v>0</v>
      </c>
      <c r="DE138" s="1">
        <f>Table1[[#This Row],[Female% (9 - 11)11]]+Table1[[#This Row],[Male% (9 - 11)12]]</f>
        <v>0</v>
      </c>
      <c r="DF138" s="1">
        <f>$CT138*Table1[[#This Row],[Female% (9 - 11)]]</f>
        <v>0</v>
      </c>
      <c r="DG138" s="1">
        <f>$CU138*Table1[[#This Row],[Male% (9 - 11)]]</f>
        <v>0</v>
      </c>
      <c r="DH138" s="1">
        <f>Table1[[#This Row],[Female% (12-14)14]]+Table1[[#This Row],[Male%(12-14)15]]</f>
        <v>0</v>
      </c>
      <c r="DI138" s="1">
        <f>$CT138*Table1[[#This Row],[Female% (12-14)]]</f>
        <v>0</v>
      </c>
      <c r="DJ138" s="1">
        <f>$CU138*Table1[[#This Row],[Male%(12-14)]]</f>
        <v>0</v>
      </c>
      <c r="DK138" s="1">
        <f>Table1[[#This Row],[Female% (15-17)17]]+Table1[[#This Row],[Male%(15-17)18]]</f>
        <v>0</v>
      </c>
      <c r="DL138" s="1">
        <f>$CT138*Table1[[#This Row],[Female% (15-17)]]</f>
        <v>0</v>
      </c>
      <c r="DM138" s="1">
        <f>$CU138*Table1[[#This Row],[Male%(15-17)]]</f>
        <v>0</v>
      </c>
      <c r="DN138" s="1">
        <f>$AF138*Table1[[#This Row],[Total% (18-19)]]</f>
        <v>0</v>
      </c>
      <c r="DO138" s="1">
        <f>$CT138*Table1[[#This Row],[Female% (18-19)]]</f>
        <v>0</v>
      </c>
      <c r="DP138" s="1">
        <f>$CU138*Table1[[#This Row],[Male%(18-19)]]</f>
        <v>0</v>
      </c>
      <c r="DQ138" s="1">
        <f>$AF138*Table1[[#This Row],[Total% (20-24)]]</f>
        <v>0</v>
      </c>
      <c r="DR138" s="1">
        <f>$CT138*Table1[[#This Row],[Female% (20-24)]]</f>
        <v>0</v>
      </c>
      <c r="DS138" s="1">
        <f>$CU138*Table1[[#This Row],[Male% (20-24)]]</f>
        <v>0</v>
      </c>
      <c r="DT138" s="1">
        <f>$AF138*Table1[[#This Row],[Total% (25-29)]]</f>
        <v>0</v>
      </c>
      <c r="DU138" s="1">
        <f>$CT138*Table1[[#This Row],[Female% (25-29)]]</f>
        <v>0</v>
      </c>
      <c r="DV138" s="1">
        <f>$CU138*Table1[[#This Row],[Male% (25-29)]]</f>
        <v>0</v>
      </c>
      <c r="DW138" s="1">
        <f>$AF138*Table1[[#This Row],[Total%   (30-34)]]</f>
        <v>0</v>
      </c>
      <c r="DX138" s="1">
        <f>$CT138*Table1[[#This Row],[Female%   (30-34)]]</f>
        <v>0</v>
      </c>
      <c r="DY138" s="1">
        <f>$CU138*Table1[[#This Row],[Male%  (30-34)]]</f>
        <v>0</v>
      </c>
      <c r="DZ138" s="1">
        <f>$AF138*Table1[[#This Row],[Total% (35-39)]]</f>
        <v>0</v>
      </c>
      <c r="EA138" s="1">
        <f>$CT138*Table1[[#This Row],[Female% (35-39)]]</f>
        <v>0</v>
      </c>
      <c r="EB138" s="1">
        <f>$CU138*Table1[[#This Row],[Male% (35-39)]]</f>
        <v>0</v>
      </c>
      <c r="EC138" s="1">
        <f>$AF138*Table1[[#This Row],[Total% (40-44)]]</f>
        <v>0</v>
      </c>
      <c r="ED138" s="1">
        <f>$CT138*Table1[[#This Row],[Female% (40-44)]]</f>
        <v>0</v>
      </c>
      <c r="EE138" s="1">
        <f>$CU138*Table1[[#This Row],[Male%(55-59)]]</f>
        <v>0</v>
      </c>
      <c r="EF138" s="1">
        <f>$AF138*Table1[[#This Row],[Total% (45-49)]]</f>
        <v>0</v>
      </c>
      <c r="EG138" s="1">
        <f>$CT138*Table1[[#This Row],[Female% (45-49)]]</f>
        <v>0</v>
      </c>
      <c r="EH138" s="1">
        <f>$CU138*Table1[[#This Row],[Male% (45-49)]]</f>
        <v>0</v>
      </c>
      <c r="EI138" s="1">
        <f>$AF138*Table1[[#This Row],[Total% (50-54)]]</f>
        <v>0</v>
      </c>
      <c r="EJ138" s="1">
        <f>$CT138*Table1[[#This Row],[Female%(50-54)]]</f>
        <v>0</v>
      </c>
      <c r="EK138" s="1">
        <f>$CU138*Table1[[#This Row],[Male% (50-54)]]</f>
        <v>0</v>
      </c>
      <c r="EL138" s="1">
        <f>$AF138*Table1[[#This Row],[Total% (55-59)]]</f>
        <v>0</v>
      </c>
      <c r="EM138" s="1">
        <f>$CT138*Table1[[#This Row],[Female% (55-59)]]</f>
        <v>0</v>
      </c>
      <c r="EN138" s="1">
        <f>$CU138*Table1[[#This Row],[Male% (55-59)]]</f>
        <v>0</v>
      </c>
      <c r="EO138" s="1">
        <f>$AF138*Table1[[#This Row],[Total% (60-64)]]</f>
        <v>0</v>
      </c>
      <c r="EP138" s="1">
        <f>$CT138*Table1[[#This Row],[Female%(60-64)]]</f>
        <v>0</v>
      </c>
      <c r="EQ138" s="1">
        <f>$CU138*Table1[[#This Row],[Male%(60-64)]]</f>
        <v>0</v>
      </c>
      <c r="ER138" s="1">
        <f>$AF138*Table1[[#This Row],[Total% (&gt;=65)]]</f>
        <v>0</v>
      </c>
      <c r="ES138" s="1">
        <f>$CT138*Table1[[#This Row],[Female%(&gt;=65)]]</f>
        <v>0</v>
      </c>
      <c r="ET138" s="1">
        <f>$CU138*Table1[[#This Row],[Male% (&gt;=65)]]</f>
        <v>0</v>
      </c>
    </row>
    <row r="139" spans="1:150" hidden="1" x14ac:dyDescent="0.35">
      <c r="A139" t="s">
        <v>12</v>
      </c>
      <c r="B139" t="s">
        <v>13</v>
      </c>
      <c r="C139" t="s">
        <v>88</v>
      </c>
      <c r="D139" t="s">
        <v>89</v>
      </c>
      <c r="E139" t="s">
        <v>569</v>
      </c>
      <c r="F139" t="s">
        <v>570</v>
      </c>
      <c r="H139">
        <v>2</v>
      </c>
      <c r="I139" s="1">
        <v>249</v>
      </c>
      <c r="J139" s="1">
        <v>7354</v>
      </c>
      <c r="K139" s="1">
        <v>662</v>
      </c>
      <c r="L139" s="1">
        <v>0</v>
      </c>
      <c r="M139" s="1">
        <v>0</v>
      </c>
      <c r="N139" s="1">
        <v>662</v>
      </c>
      <c r="O139" s="3">
        <v>1</v>
      </c>
      <c r="P139" s="3">
        <v>0</v>
      </c>
      <c r="Q139" s="3">
        <v>0</v>
      </c>
      <c r="R139" s="3">
        <v>0</v>
      </c>
      <c r="S139" s="3">
        <v>0</v>
      </c>
      <c r="T139" s="1">
        <v>8265</v>
      </c>
      <c r="U139" s="1">
        <v>0</v>
      </c>
      <c r="V139" s="10">
        <f>Table1[[#This Row],[Pop NW+RATAA]]*Table1[[#This Row],[Perc_pop_Northern_Aleppo]]</f>
        <v>0</v>
      </c>
      <c r="W139" s="10">
        <f>Table1[[#This Row],[Pop NW+RATAA]]*Table1[[#This Row],[Perc_pop_Afrin District]]</f>
        <v>0</v>
      </c>
      <c r="X139" s="10">
        <f>Table1[[#This Row],[Pop NW+RATAA]]*Table1[[#This Row],[Perc_pop_Euphrates Shiled]]</f>
        <v>0</v>
      </c>
      <c r="Y139" s="10">
        <f>Table1[[#This Row],[Pop NW+RATAA]]*Table1[[#This Row],[Perc_Pop_Idleb_NSAG]]</f>
        <v>0</v>
      </c>
      <c r="Z139" s="3">
        <v>0</v>
      </c>
      <c r="AA139" s="3">
        <v>0</v>
      </c>
      <c r="AB139" s="3">
        <v>0</v>
      </c>
      <c r="AC139" s="3">
        <v>0</v>
      </c>
      <c r="AD139" s="1">
        <v>662</v>
      </c>
      <c r="AE139" s="1">
        <v>0</v>
      </c>
      <c r="AF139" s="1">
        <v>0</v>
      </c>
      <c r="AG139" s="1">
        <v>0</v>
      </c>
      <c r="AH139" s="1">
        <v>0</v>
      </c>
      <c r="AI139" s="1">
        <f>Table1[[#This Row],[NWS_pin]]*Table1[[#This Row],[Perc_pop_Northern_Aleppo]]</f>
        <v>0</v>
      </c>
      <c r="AJ139" s="1">
        <f>Table1[[#This Row],[NWS_pin]]*Table1[[#This Row],[Perc_pop_Afrin District]]</f>
        <v>0</v>
      </c>
      <c r="AK139" s="1">
        <f>Table1[[#This Row],[NWS_pin]]*Table1[[#This Row],[Perc_pop_Euphrates Shiled]]</f>
        <v>0</v>
      </c>
      <c r="AL139" s="1">
        <f>Table1[[#This Row],[NWS_pin]]*Table1[[#This Row],[Perc_Pop_Idleb_NSAG]]</f>
        <v>0</v>
      </c>
      <c r="AM139" s="4">
        <v>0.50607761508946603</v>
      </c>
      <c r="AN139" s="4">
        <v>0.49392238491053397</v>
      </c>
      <c r="AO139" s="4">
        <v>0.22227744643251601</v>
      </c>
      <c r="AP139" s="4">
        <v>0.51709034887298899</v>
      </c>
      <c r="AQ139" s="4">
        <v>0.41995009934185201</v>
      </c>
      <c r="AR139" s="4">
        <v>3.6621430272045E-3</v>
      </c>
      <c r="AS139" s="4">
        <v>0</v>
      </c>
      <c r="AT139" s="4">
        <v>5.9297408757955299E-2</v>
      </c>
      <c r="AU139" s="4">
        <v>1.11408597690562E-2</v>
      </c>
      <c r="AV139" s="4">
        <v>1.1087934586577201E-2</v>
      </c>
      <c r="AW139" s="4">
        <v>1.11950874188761E-2</v>
      </c>
      <c r="AX139" s="4">
        <v>3.35317142600082E-2</v>
      </c>
      <c r="AY139" s="4">
        <v>2.4709740772355899E-2</v>
      </c>
      <c r="AZ139" s="4">
        <v>4.2570792948094502E-2</v>
      </c>
      <c r="BA139" s="4">
        <v>4.4702781024939603E-2</v>
      </c>
      <c r="BB139" s="4">
        <v>2.1492981791809199E-2</v>
      </c>
      <c r="BC139" s="4">
        <v>6.8483764032493594E-2</v>
      </c>
      <c r="BD139" s="4">
        <v>4.8843088298296998E-2</v>
      </c>
      <c r="BE139" s="4">
        <v>3.1835131475075197E-2</v>
      </c>
      <c r="BF139" s="4">
        <v>6.6269604061901799E-2</v>
      </c>
      <c r="BG139" s="4">
        <v>5.5761789579365902E-2</v>
      </c>
      <c r="BH139" s="4">
        <v>6.3783863576558394E-2</v>
      </c>
      <c r="BI139" s="4">
        <v>4.75422955847664E-2</v>
      </c>
      <c r="BJ139" s="4">
        <v>8.8327204777772297E-2</v>
      </c>
      <c r="BK139" s="4">
        <v>0.107771694831492</v>
      </c>
      <c r="BL139" s="4">
        <v>6.84041936860601E-2</v>
      </c>
      <c r="BM139" s="4">
        <v>3.5349006108634097E-2</v>
      </c>
      <c r="BN139" s="4">
        <v>2.1546893953494399E-2</v>
      </c>
      <c r="BO139" s="4">
        <v>4.9490782663134003E-2</v>
      </c>
      <c r="BP139" s="4">
        <v>0.10822354606095901</v>
      </c>
      <c r="BQ139" s="4">
        <v>9.6697238285336495E-2</v>
      </c>
      <c r="BR139" s="4">
        <v>0.120033511610366</v>
      </c>
      <c r="BS139" s="4">
        <v>0.107986762190066</v>
      </c>
      <c r="BT139" s="4">
        <v>0.153570717994468</v>
      </c>
      <c r="BU139" s="4">
        <v>6.1281003664839198E-2</v>
      </c>
      <c r="BV139" s="4">
        <v>4.1320247099722401E-2</v>
      </c>
      <c r="BW139" s="4">
        <v>5.6693130692065302E-2</v>
      </c>
      <c r="BX139" s="4">
        <v>2.55690430580791E-2</v>
      </c>
      <c r="BY139" s="4">
        <v>8.2700583384788098E-2</v>
      </c>
      <c r="BZ139" s="4">
        <v>8.5438581853423096E-2</v>
      </c>
      <c r="CA139" s="4">
        <v>7.9895203880928606E-2</v>
      </c>
      <c r="CB139" s="4">
        <v>5.7736937341920799E-2</v>
      </c>
      <c r="CC139" s="4">
        <v>8.4687020647074299E-2</v>
      </c>
      <c r="CD139" s="4">
        <v>3.01236233836863E-2</v>
      </c>
      <c r="CE139" s="4">
        <v>7.6583829123246794E-2</v>
      </c>
      <c r="CF139" s="4">
        <v>5.8162237097985403E-2</v>
      </c>
      <c r="CG139" s="4">
        <v>9.5458769079620906E-2</v>
      </c>
      <c r="CH139" s="4">
        <v>4.7943374550183701E-2</v>
      </c>
      <c r="CI139" s="4">
        <v>5.8888125846388799E-2</v>
      </c>
      <c r="CJ139" s="4">
        <v>3.6729277350004898E-2</v>
      </c>
      <c r="CK139" s="4">
        <v>5.4913395243599901E-2</v>
      </c>
      <c r="CL139" s="4">
        <v>4.9309731786995603E-2</v>
      </c>
      <c r="CM139" s="4">
        <v>6.0654962592073099E-2</v>
      </c>
      <c r="CN139" s="4">
        <v>4.2844238762591497E-2</v>
      </c>
      <c r="CO139" s="4">
        <v>3.5331720247225799E-2</v>
      </c>
      <c r="CP139" s="4">
        <v>5.05416373209914E-2</v>
      </c>
      <c r="CQ139" s="4">
        <v>6.2090642424848699E-2</v>
      </c>
      <c r="CR139" s="4">
        <v>3.8993254561674899E-2</v>
      </c>
      <c r="CS139" s="4">
        <v>8.5756447664084204E-2</v>
      </c>
      <c r="CT139" s="1">
        <f>Table1[[#This Row],[Female %]]*Table1[[#This Row],[NWS_pin]]</f>
        <v>0</v>
      </c>
      <c r="CU139" s="1">
        <f>Table1[[#This Row],[Male %]]*Table1[[#This Row],[NWS_pin]]</f>
        <v>0</v>
      </c>
      <c r="CV139" s="1">
        <f>Table1[[#This Row],[Female% (0-2)22]]+Table1[[#This Row],[Male%(0-2)3]]</f>
        <v>0</v>
      </c>
      <c r="CW139" s="1">
        <f>$CT139*Table1[[#This Row],[Female% (0-2)]]</f>
        <v>0</v>
      </c>
      <c r="CX139" s="1">
        <f>$CU139*Table1[[#This Row],[Male%(0-2)]]</f>
        <v>0</v>
      </c>
      <c r="CY139" s="1">
        <f>Table1[[#This Row],[Female%  (3-5)5]]+Table1[[#This Row],[Male% (3-5)6]]</f>
        <v>0</v>
      </c>
      <c r="CZ139" s="1">
        <f>$AF139*Table1[[#This Row],[Female%  (3-5)]]</f>
        <v>0</v>
      </c>
      <c r="DA139" s="1">
        <f>$CU139*Table1[[#This Row],[Male% (3-5)]]</f>
        <v>0</v>
      </c>
      <c r="DB139" s="1">
        <f>Table1[[#This Row],[Female% (6-8)8]]+Table1[[#This Row],[Male%(6-8)9]]</f>
        <v>0</v>
      </c>
      <c r="DC139" s="1">
        <f>$CT139*Table1[[#This Row],[Female% (6-8)]]</f>
        <v>0</v>
      </c>
      <c r="DD139" s="1">
        <f>$CU139*Table1[[#This Row],[Male%(6-8)]]</f>
        <v>0</v>
      </c>
      <c r="DE139" s="1">
        <f>Table1[[#This Row],[Female% (9 - 11)11]]+Table1[[#This Row],[Male% (9 - 11)12]]</f>
        <v>0</v>
      </c>
      <c r="DF139" s="1">
        <f>$CT139*Table1[[#This Row],[Female% (9 - 11)]]</f>
        <v>0</v>
      </c>
      <c r="DG139" s="1">
        <f>$CU139*Table1[[#This Row],[Male% (9 - 11)]]</f>
        <v>0</v>
      </c>
      <c r="DH139" s="1">
        <f>Table1[[#This Row],[Female% (12-14)14]]+Table1[[#This Row],[Male%(12-14)15]]</f>
        <v>0</v>
      </c>
      <c r="DI139" s="1">
        <f>$CT139*Table1[[#This Row],[Female% (12-14)]]</f>
        <v>0</v>
      </c>
      <c r="DJ139" s="1">
        <f>$CU139*Table1[[#This Row],[Male%(12-14)]]</f>
        <v>0</v>
      </c>
      <c r="DK139" s="1">
        <f>Table1[[#This Row],[Female% (15-17)17]]+Table1[[#This Row],[Male%(15-17)18]]</f>
        <v>0</v>
      </c>
      <c r="DL139" s="1">
        <f>$CT139*Table1[[#This Row],[Female% (15-17)]]</f>
        <v>0</v>
      </c>
      <c r="DM139" s="1">
        <f>$CU139*Table1[[#This Row],[Male%(15-17)]]</f>
        <v>0</v>
      </c>
      <c r="DN139" s="1">
        <f>$AF139*Table1[[#This Row],[Total% (18-19)]]</f>
        <v>0</v>
      </c>
      <c r="DO139" s="1">
        <f>$CT139*Table1[[#This Row],[Female% (18-19)]]</f>
        <v>0</v>
      </c>
      <c r="DP139" s="1">
        <f>$CU139*Table1[[#This Row],[Male%(18-19)]]</f>
        <v>0</v>
      </c>
      <c r="DQ139" s="1">
        <f>$AF139*Table1[[#This Row],[Total% (20-24)]]</f>
        <v>0</v>
      </c>
      <c r="DR139" s="1">
        <f>$CT139*Table1[[#This Row],[Female% (20-24)]]</f>
        <v>0</v>
      </c>
      <c r="DS139" s="1">
        <f>$CU139*Table1[[#This Row],[Male% (20-24)]]</f>
        <v>0</v>
      </c>
      <c r="DT139" s="1">
        <f>$AF139*Table1[[#This Row],[Total% (25-29)]]</f>
        <v>0</v>
      </c>
      <c r="DU139" s="1">
        <f>$CT139*Table1[[#This Row],[Female% (25-29)]]</f>
        <v>0</v>
      </c>
      <c r="DV139" s="1">
        <f>$CU139*Table1[[#This Row],[Male% (25-29)]]</f>
        <v>0</v>
      </c>
      <c r="DW139" s="1">
        <f>$AF139*Table1[[#This Row],[Total%   (30-34)]]</f>
        <v>0</v>
      </c>
      <c r="DX139" s="1">
        <f>$CT139*Table1[[#This Row],[Female%   (30-34)]]</f>
        <v>0</v>
      </c>
      <c r="DY139" s="1">
        <f>$CU139*Table1[[#This Row],[Male%  (30-34)]]</f>
        <v>0</v>
      </c>
      <c r="DZ139" s="1">
        <f>$AF139*Table1[[#This Row],[Total% (35-39)]]</f>
        <v>0</v>
      </c>
      <c r="EA139" s="1">
        <f>$CT139*Table1[[#This Row],[Female% (35-39)]]</f>
        <v>0</v>
      </c>
      <c r="EB139" s="1">
        <f>$CU139*Table1[[#This Row],[Male% (35-39)]]</f>
        <v>0</v>
      </c>
      <c r="EC139" s="1">
        <f>$AF139*Table1[[#This Row],[Total% (40-44)]]</f>
        <v>0</v>
      </c>
      <c r="ED139" s="1">
        <f>$CT139*Table1[[#This Row],[Female% (40-44)]]</f>
        <v>0</v>
      </c>
      <c r="EE139" s="1">
        <f>$CU139*Table1[[#This Row],[Male%(55-59)]]</f>
        <v>0</v>
      </c>
      <c r="EF139" s="1">
        <f>$AF139*Table1[[#This Row],[Total% (45-49)]]</f>
        <v>0</v>
      </c>
      <c r="EG139" s="1">
        <f>$CT139*Table1[[#This Row],[Female% (45-49)]]</f>
        <v>0</v>
      </c>
      <c r="EH139" s="1">
        <f>$CU139*Table1[[#This Row],[Male% (45-49)]]</f>
        <v>0</v>
      </c>
      <c r="EI139" s="1">
        <f>$AF139*Table1[[#This Row],[Total% (50-54)]]</f>
        <v>0</v>
      </c>
      <c r="EJ139" s="1">
        <f>$CT139*Table1[[#This Row],[Female%(50-54)]]</f>
        <v>0</v>
      </c>
      <c r="EK139" s="1">
        <f>$CU139*Table1[[#This Row],[Male% (50-54)]]</f>
        <v>0</v>
      </c>
      <c r="EL139" s="1">
        <f>$AF139*Table1[[#This Row],[Total% (55-59)]]</f>
        <v>0</v>
      </c>
      <c r="EM139" s="1">
        <f>$CT139*Table1[[#This Row],[Female% (55-59)]]</f>
        <v>0</v>
      </c>
      <c r="EN139" s="1">
        <f>$CU139*Table1[[#This Row],[Male% (55-59)]]</f>
        <v>0</v>
      </c>
      <c r="EO139" s="1">
        <f>$AF139*Table1[[#This Row],[Total% (60-64)]]</f>
        <v>0</v>
      </c>
      <c r="EP139" s="1">
        <f>$CT139*Table1[[#This Row],[Female%(60-64)]]</f>
        <v>0</v>
      </c>
      <c r="EQ139" s="1">
        <f>$CU139*Table1[[#This Row],[Male%(60-64)]]</f>
        <v>0</v>
      </c>
      <c r="ER139" s="1">
        <f>$AF139*Table1[[#This Row],[Total% (&gt;=65)]]</f>
        <v>0</v>
      </c>
      <c r="ES139" s="1">
        <f>$CT139*Table1[[#This Row],[Female%(&gt;=65)]]</f>
        <v>0</v>
      </c>
      <c r="ET139" s="1">
        <f>$CU139*Table1[[#This Row],[Male% (&gt;=65)]]</f>
        <v>0</v>
      </c>
    </row>
    <row r="140" spans="1:150" hidden="1" x14ac:dyDescent="0.35">
      <c r="A140" t="s">
        <v>12</v>
      </c>
      <c r="B140" t="s">
        <v>13</v>
      </c>
      <c r="C140" t="s">
        <v>88</v>
      </c>
      <c r="D140" t="s">
        <v>89</v>
      </c>
      <c r="E140" t="s">
        <v>573</v>
      </c>
      <c r="F140" t="s">
        <v>574</v>
      </c>
      <c r="H140">
        <v>2</v>
      </c>
      <c r="I140" s="1">
        <v>0</v>
      </c>
      <c r="J140" s="1">
        <v>4524</v>
      </c>
      <c r="K140" s="1">
        <v>341</v>
      </c>
      <c r="L140" s="1">
        <v>0</v>
      </c>
      <c r="M140" s="1">
        <v>0</v>
      </c>
      <c r="N140" s="1">
        <v>341</v>
      </c>
      <c r="O140" s="3">
        <v>1</v>
      </c>
      <c r="P140" s="3">
        <v>0</v>
      </c>
      <c r="Q140" s="3">
        <v>0</v>
      </c>
      <c r="R140" s="3">
        <v>0</v>
      </c>
      <c r="S140" s="3">
        <v>0</v>
      </c>
      <c r="T140" s="1">
        <v>4865</v>
      </c>
      <c r="U140" s="1">
        <v>0</v>
      </c>
      <c r="V140" s="10">
        <f>Table1[[#This Row],[Pop NW+RATAA]]*Table1[[#This Row],[Perc_pop_Northern_Aleppo]]</f>
        <v>0</v>
      </c>
      <c r="W140" s="10">
        <f>Table1[[#This Row],[Pop NW+RATAA]]*Table1[[#This Row],[Perc_pop_Afrin District]]</f>
        <v>0</v>
      </c>
      <c r="X140" s="10">
        <f>Table1[[#This Row],[Pop NW+RATAA]]*Table1[[#This Row],[Perc_pop_Euphrates Shiled]]</f>
        <v>0</v>
      </c>
      <c r="Y140" s="10">
        <f>Table1[[#This Row],[Pop NW+RATAA]]*Table1[[#This Row],[Perc_Pop_Idleb_NSAG]]</f>
        <v>0</v>
      </c>
      <c r="Z140" s="3">
        <v>0</v>
      </c>
      <c r="AA140" s="3">
        <v>0</v>
      </c>
      <c r="AB140" s="3">
        <v>0</v>
      </c>
      <c r="AC140" s="3">
        <v>0</v>
      </c>
      <c r="AD140" s="1">
        <v>341</v>
      </c>
      <c r="AE140" s="1">
        <v>0</v>
      </c>
      <c r="AF140" s="1">
        <v>0</v>
      </c>
      <c r="AG140" s="1">
        <v>0</v>
      </c>
      <c r="AH140" s="1">
        <v>0</v>
      </c>
      <c r="AI140" s="1">
        <f>Table1[[#This Row],[NWS_pin]]*Table1[[#This Row],[Perc_pop_Northern_Aleppo]]</f>
        <v>0</v>
      </c>
      <c r="AJ140" s="1">
        <f>Table1[[#This Row],[NWS_pin]]*Table1[[#This Row],[Perc_pop_Afrin District]]</f>
        <v>0</v>
      </c>
      <c r="AK140" s="1">
        <f>Table1[[#This Row],[NWS_pin]]*Table1[[#This Row],[Perc_pop_Euphrates Shiled]]</f>
        <v>0</v>
      </c>
      <c r="AL140" s="1">
        <f>Table1[[#This Row],[NWS_pin]]*Table1[[#This Row],[Perc_Pop_Idleb_NSAG]]</f>
        <v>0</v>
      </c>
      <c r="AM140" s="4">
        <v>0.50396051946308296</v>
      </c>
      <c r="AN140" s="4">
        <v>0.49603948053691699</v>
      </c>
      <c r="AO140" s="4">
        <v>0.14256596578025099</v>
      </c>
      <c r="AP140" s="4">
        <v>0.41579080885688802</v>
      </c>
      <c r="AQ140" s="4">
        <v>0.54199897350456205</v>
      </c>
      <c r="AR140" s="4">
        <v>6.2362719764770301E-3</v>
      </c>
      <c r="AS140" s="4">
        <v>0</v>
      </c>
      <c r="AT140" s="4">
        <v>3.59739456620728E-2</v>
      </c>
      <c r="AU140" s="4">
        <v>3.6455781126935899E-2</v>
      </c>
      <c r="AV140" s="4">
        <v>5.4522710766964397E-2</v>
      </c>
      <c r="AW140" s="4">
        <v>1.8100348537908199E-2</v>
      </c>
      <c r="AX140" s="4">
        <v>6.7542124376439402E-2</v>
      </c>
      <c r="AY140" s="4">
        <v>5.5177703072100202E-2</v>
      </c>
      <c r="AZ140" s="4">
        <v>8.0103987752012898E-2</v>
      </c>
      <c r="BA140" s="4">
        <v>7.4026559376725601E-2</v>
      </c>
      <c r="BB140" s="4">
        <v>6.9578138299026093E-2</v>
      </c>
      <c r="BC140" s="4">
        <v>7.8546015357691901E-2</v>
      </c>
      <c r="BD140" s="4">
        <v>5.7506928472960898E-2</v>
      </c>
      <c r="BE140" s="4">
        <v>6.7484182563047806E-2</v>
      </c>
      <c r="BF140" s="4">
        <v>4.7370351947614901E-2</v>
      </c>
      <c r="BG140" s="4">
        <v>5.96260740625629E-2</v>
      </c>
      <c r="BH140" s="4">
        <v>4.8730464124367497E-2</v>
      </c>
      <c r="BI140" s="4">
        <v>7.0695671261512993E-2</v>
      </c>
      <c r="BJ140" s="4">
        <v>5.7495848386418802E-2</v>
      </c>
      <c r="BK140" s="4">
        <v>4.9226341052448101E-2</v>
      </c>
      <c r="BL140" s="4">
        <v>6.5897407889748502E-2</v>
      </c>
      <c r="BM140" s="4">
        <v>5.2169609612156699E-2</v>
      </c>
      <c r="BN140" s="4">
        <v>3.5756681420951501E-2</v>
      </c>
      <c r="BO140" s="4">
        <v>6.8844628721919696E-2</v>
      </c>
      <c r="BP140" s="4">
        <v>7.4328665129404503E-2</v>
      </c>
      <c r="BQ140" s="4">
        <v>7.5812908930993003E-2</v>
      </c>
      <c r="BR140" s="4">
        <v>7.2820720083480298E-2</v>
      </c>
      <c r="BS140" s="4">
        <v>8.3726077183907399E-2</v>
      </c>
      <c r="BT140" s="4">
        <v>0.124321873985134</v>
      </c>
      <c r="BU140" s="4">
        <v>4.24820237432025E-2</v>
      </c>
      <c r="BV140" s="4">
        <v>8.5265681064907103E-2</v>
      </c>
      <c r="BW140" s="4">
        <v>8.7713104164524894E-2</v>
      </c>
      <c r="BX140" s="4">
        <v>8.2779176129263096E-2</v>
      </c>
      <c r="BY140" s="4">
        <v>8.3743329621247004E-2</v>
      </c>
      <c r="BZ140" s="4">
        <v>9.7126646872601599E-2</v>
      </c>
      <c r="CA140" s="4">
        <v>7.01462999920099E-2</v>
      </c>
      <c r="CB140" s="4">
        <v>7.8328962372761296E-2</v>
      </c>
      <c r="CC140" s="4">
        <v>8.2193968545352103E-2</v>
      </c>
      <c r="CD140" s="4">
        <v>7.4402237596018703E-2</v>
      </c>
      <c r="CE140" s="4">
        <v>5.8370757361093803E-2</v>
      </c>
      <c r="CF140" s="4">
        <v>6.3847541023308405E-2</v>
      </c>
      <c r="CG140" s="4">
        <v>5.2806517320343298E-2</v>
      </c>
      <c r="CH140" s="4">
        <v>5.6155655428120899E-2</v>
      </c>
      <c r="CI140" s="4">
        <v>3.9583049045312603E-2</v>
      </c>
      <c r="CJ140" s="4">
        <v>7.2992902561145601E-2</v>
      </c>
      <c r="CK140" s="4">
        <v>2.8437580061651601E-2</v>
      </c>
      <c r="CL140" s="4">
        <v>2.0196093325771599E-2</v>
      </c>
      <c r="CM140" s="4">
        <v>3.6810671518135198E-2</v>
      </c>
      <c r="CN140" s="4">
        <v>1.52097041539938E-2</v>
      </c>
      <c r="CO140" s="4">
        <v>5.7391247005674998E-3</v>
      </c>
      <c r="CP140" s="4">
        <v>2.4831515175566098E-2</v>
      </c>
      <c r="CQ140" s="4">
        <v>3.1610662208712399E-2</v>
      </c>
      <c r="CR140" s="4">
        <v>2.2989468107528398E-2</v>
      </c>
      <c r="CS140" s="4">
        <v>4.0369524412426402E-2</v>
      </c>
      <c r="CT140" s="1">
        <f>Table1[[#This Row],[Female %]]*Table1[[#This Row],[NWS_pin]]</f>
        <v>0</v>
      </c>
      <c r="CU140" s="1">
        <f>Table1[[#This Row],[Male %]]*Table1[[#This Row],[NWS_pin]]</f>
        <v>0</v>
      </c>
      <c r="CV140" s="1">
        <f>Table1[[#This Row],[Female% (0-2)22]]+Table1[[#This Row],[Male%(0-2)3]]</f>
        <v>0</v>
      </c>
      <c r="CW140" s="1">
        <f>$CT140*Table1[[#This Row],[Female% (0-2)]]</f>
        <v>0</v>
      </c>
      <c r="CX140" s="1">
        <f>$CU140*Table1[[#This Row],[Male%(0-2)]]</f>
        <v>0</v>
      </c>
      <c r="CY140" s="1">
        <f>Table1[[#This Row],[Female%  (3-5)5]]+Table1[[#This Row],[Male% (3-5)6]]</f>
        <v>0</v>
      </c>
      <c r="CZ140" s="1">
        <f>$AF140*Table1[[#This Row],[Female%  (3-5)]]</f>
        <v>0</v>
      </c>
      <c r="DA140" s="1">
        <f>$CU140*Table1[[#This Row],[Male% (3-5)]]</f>
        <v>0</v>
      </c>
      <c r="DB140" s="1">
        <f>Table1[[#This Row],[Female% (6-8)8]]+Table1[[#This Row],[Male%(6-8)9]]</f>
        <v>0</v>
      </c>
      <c r="DC140" s="1">
        <f>$CT140*Table1[[#This Row],[Female% (6-8)]]</f>
        <v>0</v>
      </c>
      <c r="DD140" s="1">
        <f>$CU140*Table1[[#This Row],[Male%(6-8)]]</f>
        <v>0</v>
      </c>
      <c r="DE140" s="1">
        <f>Table1[[#This Row],[Female% (9 - 11)11]]+Table1[[#This Row],[Male% (9 - 11)12]]</f>
        <v>0</v>
      </c>
      <c r="DF140" s="1">
        <f>$CT140*Table1[[#This Row],[Female% (9 - 11)]]</f>
        <v>0</v>
      </c>
      <c r="DG140" s="1">
        <f>$CU140*Table1[[#This Row],[Male% (9 - 11)]]</f>
        <v>0</v>
      </c>
      <c r="DH140" s="1">
        <f>Table1[[#This Row],[Female% (12-14)14]]+Table1[[#This Row],[Male%(12-14)15]]</f>
        <v>0</v>
      </c>
      <c r="DI140" s="1">
        <f>$CT140*Table1[[#This Row],[Female% (12-14)]]</f>
        <v>0</v>
      </c>
      <c r="DJ140" s="1">
        <f>$CU140*Table1[[#This Row],[Male%(12-14)]]</f>
        <v>0</v>
      </c>
      <c r="DK140" s="1">
        <f>Table1[[#This Row],[Female% (15-17)17]]+Table1[[#This Row],[Male%(15-17)18]]</f>
        <v>0</v>
      </c>
      <c r="DL140" s="1">
        <f>$CT140*Table1[[#This Row],[Female% (15-17)]]</f>
        <v>0</v>
      </c>
      <c r="DM140" s="1">
        <f>$CU140*Table1[[#This Row],[Male%(15-17)]]</f>
        <v>0</v>
      </c>
      <c r="DN140" s="1">
        <f>$AF140*Table1[[#This Row],[Total% (18-19)]]</f>
        <v>0</v>
      </c>
      <c r="DO140" s="1">
        <f>$CT140*Table1[[#This Row],[Female% (18-19)]]</f>
        <v>0</v>
      </c>
      <c r="DP140" s="1">
        <f>$CU140*Table1[[#This Row],[Male%(18-19)]]</f>
        <v>0</v>
      </c>
      <c r="DQ140" s="1">
        <f>$AF140*Table1[[#This Row],[Total% (20-24)]]</f>
        <v>0</v>
      </c>
      <c r="DR140" s="1">
        <f>$CT140*Table1[[#This Row],[Female% (20-24)]]</f>
        <v>0</v>
      </c>
      <c r="DS140" s="1">
        <f>$CU140*Table1[[#This Row],[Male% (20-24)]]</f>
        <v>0</v>
      </c>
      <c r="DT140" s="1">
        <f>$AF140*Table1[[#This Row],[Total% (25-29)]]</f>
        <v>0</v>
      </c>
      <c r="DU140" s="1">
        <f>$CT140*Table1[[#This Row],[Female% (25-29)]]</f>
        <v>0</v>
      </c>
      <c r="DV140" s="1">
        <f>$CU140*Table1[[#This Row],[Male% (25-29)]]</f>
        <v>0</v>
      </c>
      <c r="DW140" s="1">
        <f>$AF140*Table1[[#This Row],[Total%   (30-34)]]</f>
        <v>0</v>
      </c>
      <c r="DX140" s="1">
        <f>$CT140*Table1[[#This Row],[Female%   (30-34)]]</f>
        <v>0</v>
      </c>
      <c r="DY140" s="1">
        <f>$CU140*Table1[[#This Row],[Male%  (30-34)]]</f>
        <v>0</v>
      </c>
      <c r="DZ140" s="1">
        <f>$AF140*Table1[[#This Row],[Total% (35-39)]]</f>
        <v>0</v>
      </c>
      <c r="EA140" s="1">
        <f>$CT140*Table1[[#This Row],[Female% (35-39)]]</f>
        <v>0</v>
      </c>
      <c r="EB140" s="1">
        <f>$CU140*Table1[[#This Row],[Male% (35-39)]]</f>
        <v>0</v>
      </c>
      <c r="EC140" s="1">
        <f>$AF140*Table1[[#This Row],[Total% (40-44)]]</f>
        <v>0</v>
      </c>
      <c r="ED140" s="1">
        <f>$CT140*Table1[[#This Row],[Female% (40-44)]]</f>
        <v>0</v>
      </c>
      <c r="EE140" s="1">
        <f>$CU140*Table1[[#This Row],[Male%(55-59)]]</f>
        <v>0</v>
      </c>
      <c r="EF140" s="1">
        <f>$AF140*Table1[[#This Row],[Total% (45-49)]]</f>
        <v>0</v>
      </c>
      <c r="EG140" s="1">
        <f>$CT140*Table1[[#This Row],[Female% (45-49)]]</f>
        <v>0</v>
      </c>
      <c r="EH140" s="1">
        <f>$CU140*Table1[[#This Row],[Male% (45-49)]]</f>
        <v>0</v>
      </c>
      <c r="EI140" s="1">
        <f>$AF140*Table1[[#This Row],[Total% (50-54)]]</f>
        <v>0</v>
      </c>
      <c r="EJ140" s="1">
        <f>$CT140*Table1[[#This Row],[Female%(50-54)]]</f>
        <v>0</v>
      </c>
      <c r="EK140" s="1">
        <f>$CU140*Table1[[#This Row],[Male% (50-54)]]</f>
        <v>0</v>
      </c>
      <c r="EL140" s="1">
        <f>$AF140*Table1[[#This Row],[Total% (55-59)]]</f>
        <v>0</v>
      </c>
      <c r="EM140" s="1">
        <f>$CT140*Table1[[#This Row],[Female% (55-59)]]</f>
        <v>0</v>
      </c>
      <c r="EN140" s="1">
        <f>$CU140*Table1[[#This Row],[Male% (55-59)]]</f>
        <v>0</v>
      </c>
      <c r="EO140" s="1">
        <f>$AF140*Table1[[#This Row],[Total% (60-64)]]</f>
        <v>0</v>
      </c>
      <c r="EP140" s="1">
        <f>$CT140*Table1[[#This Row],[Female%(60-64)]]</f>
        <v>0</v>
      </c>
      <c r="EQ140" s="1">
        <f>$CU140*Table1[[#This Row],[Male%(60-64)]]</f>
        <v>0</v>
      </c>
      <c r="ER140" s="1">
        <f>$AF140*Table1[[#This Row],[Total% (&gt;=65)]]</f>
        <v>0</v>
      </c>
      <c r="ES140" s="1">
        <f>$CT140*Table1[[#This Row],[Female%(&gt;=65)]]</f>
        <v>0</v>
      </c>
      <c r="ET140" s="1">
        <f>$CU140*Table1[[#This Row],[Male% (&gt;=65)]]</f>
        <v>0</v>
      </c>
    </row>
    <row r="141" spans="1:150" x14ac:dyDescent="0.35">
      <c r="A141" t="s">
        <v>12</v>
      </c>
      <c r="B141" t="s">
        <v>13</v>
      </c>
      <c r="C141" t="s">
        <v>88</v>
      </c>
      <c r="D141" t="s">
        <v>89</v>
      </c>
      <c r="E141" t="s">
        <v>608</v>
      </c>
      <c r="F141" t="s">
        <v>609</v>
      </c>
      <c r="G141" t="s">
        <v>1143</v>
      </c>
      <c r="H141">
        <v>2</v>
      </c>
      <c r="I141" s="1">
        <v>0</v>
      </c>
      <c r="J141" s="1">
        <v>1673</v>
      </c>
      <c r="K141" s="1">
        <v>21</v>
      </c>
      <c r="L141" s="1">
        <v>0</v>
      </c>
      <c r="M141" s="1">
        <v>0</v>
      </c>
      <c r="N141" s="1">
        <v>21</v>
      </c>
      <c r="O141" s="3">
        <v>0.8</v>
      </c>
      <c r="P141" s="3">
        <v>0</v>
      </c>
      <c r="Q141" s="3">
        <v>0.2</v>
      </c>
      <c r="R141" s="3">
        <v>0</v>
      </c>
      <c r="S141" s="3">
        <v>0</v>
      </c>
      <c r="T141" s="1">
        <v>1694</v>
      </c>
      <c r="U141" s="1">
        <v>0</v>
      </c>
      <c r="V141" s="10">
        <f>Table1[[#This Row],[Pop NW+RATAA]]*Table1[[#This Row],[Perc_pop_Northern_Aleppo]]</f>
        <v>0</v>
      </c>
      <c r="W141" s="10">
        <f>Table1[[#This Row],[Pop NW+RATAA]]*Table1[[#This Row],[Perc_pop_Afrin District]]</f>
        <v>0</v>
      </c>
      <c r="X141" s="10">
        <f>Table1[[#This Row],[Pop NW+RATAA]]*Table1[[#This Row],[Perc_pop_Euphrates Shiled]]</f>
        <v>0</v>
      </c>
      <c r="Y141" s="10">
        <f>Table1[[#This Row],[Pop NW+RATAA]]*Table1[[#This Row],[Perc_Pop_Idleb_NSAG]]</f>
        <v>0</v>
      </c>
      <c r="Z141" s="3">
        <v>0</v>
      </c>
      <c r="AA141" s="3">
        <v>0</v>
      </c>
      <c r="AB141" s="3">
        <v>0</v>
      </c>
      <c r="AC141" s="3">
        <v>0</v>
      </c>
      <c r="AD141" s="1">
        <v>16.8</v>
      </c>
      <c r="AE141" s="1">
        <v>0</v>
      </c>
      <c r="AF141" s="13">
        <v>4.2</v>
      </c>
      <c r="AG141" s="1">
        <v>0</v>
      </c>
      <c r="AH141" s="1">
        <v>0</v>
      </c>
      <c r="AI141" s="1">
        <f>Table1[[#This Row],[NWS_pin]]*Table1[[#This Row],[Perc_pop_Northern_Aleppo]]</f>
        <v>0</v>
      </c>
      <c r="AJ141" s="1">
        <f>Table1[[#This Row],[NWS_pin]]*Table1[[#This Row],[Perc_pop_Afrin District]]</f>
        <v>0</v>
      </c>
      <c r="AK141" s="1">
        <f>Table1[[#This Row],[NWS_pin]]*Table1[[#This Row],[Perc_pop_Euphrates Shiled]]</f>
        <v>0</v>
      </c>
      <c r="AL141" s="1">
        <f>Table1[[#This Row],[NWS_pin]]*Table1[[#This Row],[Perc_Pop_Idleb_NSAG]]</f>
        <v>0</v>
      </c>
      <c r="AM141" s="4">
        <v>0.47713623558076701</v>
      </c>
      <c r="AN141" s="4">
        <v>0.52286376441923299</v>
      </c>
      <c r="AO141" s="4">
        <v>0.11947960618846699</v>
      </c>
      <c r="AP141" s="4">
        <v>0.453414192964889</v>
      </c>
      <c r="AQ141" s="4">
        <v>0.51590006137149103</v>
      </c>
      <c r="AR141" s="4">
        <v>0</v>
      </c>
      <c r="AS141" s="4">
        <v>0</v>
      </c>
      <c r="AT141" s="4">
        <v>3.0685745663619601E-2</v>
      </c>
      <c r="AU141" s="4">
        <v>3.4234971637415797E-2</v>
      </c>
      <c r="AV141" s="4">
        <v>3.8727951846883497E-2</v>
      </c>
      <c r="AW141" s="4">
        <v>3.01349291223919E-2</v>
      </c>
      <c r="AX141" s="4">
        <v>4.56787509041763E-2</v>
      </c>
      <c r="AY141" s="4">
        <v>4.5220843078488199E-2</v>
      </c>
      <c r="AZ141" s="4">
        <v>4.6096611982070101E-2</v>
      </c>
      <c r="BA141" s="4">
        <v>6.0214575322648199E-2</v>
      </c>
      <c r="BB141" s="4">
        <v>2.6028913812105099E-2</v>
      </c>
      <c r="BC141" s="4">
        <v>9.1410498532389806E-2</v>
      </c>
      <c r="BD141" s="4">
        <v>6.0973607568431898E-2</v>
      </c>
      <c r="BE141" s="4">
        <v>5.5655846843567197E-2</v>
      </c>
      <c r="BF141" s="4">
        <v>6.5826298664361002E-2</v>
      </c>
      <c r="BG141" s="4">
        <v>4.2891270415350097E-2</v>
      </c>
      <c r="BH141" s="4">
        <v>5.0781191560238803E-2</v>
      </c>
      <c r="BI141" s="4">
        <v>3.5691369541969102E-2</v>
      </c>
      <c r="BJ141" s="4">
        <v>7.2008128069440694E-2</v>
      </c>
      <c r="BK141" s="4">
        <v>7.5877562622489694E-2</v>
      </c>
      <c r="BL141" s="4">
        <v>6.8477098455027405E-2</v>
      </c>
      <c r="BM141" s="4">
        <v>3.66488845319222E-2</v>
      </c>
      <c r="BN141" s="4">
        <v>1.9885102754242601E-2</v>
      </c>
      <c r="BO141" s="4">
        <v>5.19465744385538E-2</v>
      </c>
      <c r="BP141" s="4">
        <v>9.7338152434613801E-2</v>
      </c>
      <c r="BQ141" s="4">
        <v>0.121407590997721</v>
      </c>
      <c r="BR141" s="4">
        <v>7.5373728640014598E-2</v>
      </c>
      <c r="BS141" s="4">
        <v>7.6887111204172506E-2</v>
      </c>
      <c r="BT141" s="4">
        <v>5.1830925511277798E-2</v>
      </c>
      <c r="BU141" s="4">
        <v>9.9751985255637193E-2</v>
      </c>
      <c r="BV141" s="4">
        <v>6.3918129211558206E-2</v>
      </c>
      <c r="BW141" s="4">
        <v>0.108543986595321</v>
      </c>
      <c r="BX141" s="4">
        <v>2.3195067009488299E-2</v>
      </c>
      <c r="BY141" s="4">
        <v>8.4984248296341394E-2</v>
      </c>
      <c r="BZ141" s="4">
        <v>9.6400983408718E-2</v>
      </c>
      <c r="CA141" s="4">
        <v>7.4565974197365104E-2</v>
      </c>
      <c r="CB141" s="4">
        <v>7.5653386378345497E-2</v>
      </c>
      <c r="CC141" s="4">
        <v>6.2019079724924799E-2</v>
      </c>
      <c r="CD141" s="4">
        <v>8.8095292270586406E-2</v>
      </c>
      <c r="CE141" s="4">
        <v>9.92476301062169E-2</v>
      </c>
      <c r="CF141" s="4">
        <v>0.108015379475083</v>
      </c>
      <c r="CG141" s="4">
        <v>9.1246672279232693E-2</v>
      </c>
      <c r="CH141" s="4">
        <v>8.6735495107930105E-2</v>
      </c>
      <c r="CI141" s="4">
        <v>7.0810913243603099E-2</v>
      </c>
      <c r="CJ141" s="4">
        <v>0.10126737809734</v>
      </c>
      <c r="CK141" s="4">
        <v>2.61366448395325E-2</v>
      </c>
      <c r="CL141" s="4">
        <v>2.3956873637964001E-2</v>
      </c>
      <c r="CM141" s="4">
        <v>2.81257821565906E-2</v>
      </c>
      <c r="CN141" s="4">
        <v>2.11148970190734E-2</v>
      </c>
      <c r="CO141" s="4">
        <v>1.94188313793155E-2</v>
      </c>
      <c r="CP141" s="4">
        <v>2.2662631686727799E-2</v>
      </c>
      <c r="CQ141" s="4">
        <v>1.53341169528305E-2</v>
      </c>
      <c r="CR141" s="4">
        <v>2.54180235080563E-2</v>
      </c>
      <c r="CS141" s="4">
        <v>6.1321076702541598E-3</v>
      </c>
      <c r="CT141" s="1">
        <f>Table1[[#This Row],[Female %]]*Table1[[#This Row],[NWS_pin]]</f>
        <v>2.0039721894392217</v>
      </c>
      <c r="CU141" s="1">
        <f>Table1[[#This Row],[Male %]]*Table1[[#This Row],[NWS_pin]]</f>
        <v>2.1960278105607784</v>
      </c>
      <c r="CV141" s="1">
        <f>Table1[[#This Row],[Female% (0-2)22]]+Table1[[#This Row],[Male%(0-2)3]]</f>
        <v>0.14378688087714642</v>
      </c>
      <c r="CW141" s="1">
        <f>$CT141*Table1[[#This Row],[Female% (0-2)]]</f>
        <v>7.7609738455095875E-2</v>
      </c>
      <c r="CX141" s="1">
        <f>$CU141*Table1[[#This Row],[Male%(0-2)]]</f>
        <v>6.6177142422050528E-2</v>
      </c>
      <c r="CY141" s="1">
        <f>Table1[[#This Row],[Female%  (3-5)5]]+Table1[[#This Row],[Male% (3-5)6]]</f>
        <v>0.2911569828149056</v>
      </c>
      <c r="CZ141" s="1">
        <f>$AF141*Table1[[#This Row],[Female%  (3-5)]]</f>
        <v>0.18992754092965045</v>
      </c>
      <c r="DA141" s="1">
        <f>$CU141*Table1[[#This Row],[Male% (3-5)]]</f>
        <v>0.10122944188525515</v>
      </c>
      <c r="DB141" s="1">
        <f>Table1[[#This Row],[Female% (6-8)8]]+Table1[[#This Row],[Male%(6-8)9]]</f>
        <v>0.2529012163551223</v>
      </c>
      <c r="DC141" s="1">
        <f>$CT141*Table1[[#This Row],[Female% (6-8)]]</f>
        <v>5.2161219400769052E-2</v>
      </c>
      <c r="DD141" s="1">
        <f>$CU141*Table1[[#This Row],[Male%(6-8)]]</f>
        <v>0.20073999695435324</v>
      </c>
      <c r="DE141" s="1">
        <f>Table1[[#This Row],[Female% (9 - 11)11]]+Table1[[#This Row],[Male% (9 - 11)12]]</f>
        <v>0.25608915178741393</v>
      </c>
      <c r="DF141" s="1">
        <f>$CT141*Table1[[#This Row],[Female% (9 - 11)]]</f>
        <v>0.11153276925419735</v>
      </c>
      <c r="DG141" s="1">
        <f>$CU141*Table1[[#This Row],[Male% (9 - 11)]]</f>
        <v>0.14455638253321659</v>
      </c>
      <c r="DH141" s="1">
        <f>Table1[[#This Row],[Female% (12-14)14]]+Table1[[#This Row],[Male%(12-14)15]]</f>
        <v>0.18014333574447033</v>
      </c>
      <c r="DI141" s="1">
        <f>$CT141*Table1[[#This Row],[Female% (12-14)]]</f>
        <v>0.10176409563330428</v>
      </c>
      <c r="DJ141" s="1">
        <f>$CU141*Table1[[#This Row],[Male%(12-14)]]</f>
        <v>7.8379240111166065E-2</v>
      </c>
      <c r="DK141" s="1">
        <f>Table1[[#This Row],[Female% (15-17)17]]+Table1[[#This Row],[Male%(15-17)18]]</f>
        <v>0.30243413789165102</v>
      </c>
      <c r="DL141" s="1">
        <f>$CT141*Table1[[#This Row],[Female% (15-17)]]</f>
        <v>0.15205652529790234</v>
      </c>
      <c r="DM141" s="1">
        <f>$CU141*Table1[[#This Row],[Male%(15-17)]]</f>
        <v>0.15037761259374868</v>
      </c>
      <c r="DN141" s="1">
        <f>$AF141*Table1[[#This Row],[Total% (18-19)]]</f>
        <v>0.15392531503407325</v>
      </c>
      <c r="DO141" s="1">
        <f>$CT141*Table1[[#This Row],[Female% (18-19)]]</f>
        <v>3.9849192903643443E-2</v>
      </c>
      <c r="DP141" s="1">
        <f>$CU141*Table1[[#This Row],[Male%(18-19)]]</f>
        <v>0.11407612213042979</v>
      </c>
      <c r="DQ141" s="1">
        <f>$AF141*Table1[[#This Row],[Total% (20-24)]]</f>
        <v>0.408820240225378</v>
      </c>
      <c r="DR141" s="1">
        <f>$CT141*Table1[[#This Row],[Female% (20-24)]]</f>
        <v>0.24329743594624451</v>
      </c>
      <c r="DS141" s="1">
        <f>$CU141*Table1[[#This Row],[Male% (20-24)]]</f>
        <v>0.16552280427913349</v>
      </c>
      <c r="DT141" s="1">
        <f>$AF141*Table1[[#This Row],[Total% (25-29)]]</f>
        <v>0.32292586705752452</v>
      </c>
      <c r="DU141" s="1">
        <f>$CT141*Table1[[#This Row],[Female% (25-29)]]</f>
        <v>0.10386773327749659</v>
      </c>
      <c r="DV141" s="1">
        <f>$CU141*Table1[[#This Row],[Male% (25-29)]]</f>
        <v>0.219058133780028</v>
      </c>
      <c r="DW141" s="1">
        <f>$AF141*Table1[[#This Row],[Total%   (30-34)]]</f>
        <v>0.26845614268854445</v>
      </c>
      <c r="DX141" s="1">
        <f>$CT141*Table1[[#This Row],[Female%   (30-34)]]</f>
        <v>0.21751913046788696</v>
      </c>
      <c r="DY141" s="1">
        <f>$CU141*Table1[[#This Row],[Male%  (30-34)]]</f>
        <v>5.0937012220657135E-2</v>
      </c>
      <c r="DZ141" s="1">
        <f>$AF141*Table1[[#This Row],[Total% (35-39)]]</f>
        <v>0.35693384284463386</v>
      </c>
      <c r="EA141" s="1">
        <f>$CT141*Table1[[#This Row],[Female% (35-39)]]</f>
        <v>0.1931848897856627</v>
      </c>
      <c r="EB141" s="1">
        <f>$CU141*Table1[[#This Row],[Male% (35-39)]]</f>
        <v>0.16374895305897119</v>
      </c>
      <c r="EC141" s="1">
        <f>$AF141*Table1[[#This Row],[Total% (40-44)]]</f>
        <v>0.31774422278905112</v>
      </c>
      <c r="ED141" s="1">
        <f>$CT141*Table1[[#This Row],[Female% (40-44)]]</f>
        <v>0.1242845109833632</v>
      </c>
      <c r="EE141" s="1">
        <f>$CU141*Table1[[#This Row],[Male%(55-59)]]</f>
        <v>0.19345971180568775</v>
      </c>
      <c r="EF141" s="1">
        <f>$AF141*Table1[[#This Row],[Total% (45-49)]]</f>
        <v>0.416840046446111</v>
      </c>
      <c r="EG141" s="1">
        <f>$CT141*Table1[[#This Row],[Female% (45-49)]]</f>
        <v>0.21645981649979043</v>
      </c>
      <c r="EH141" s="1">
        <f>$CU141*Table1[[#This Row],[Male% (45-49)]]</f>
        <v>0.20038022994632024</v>
      </c>
      <c r="EI141" s="1">
        <f>$AF141*Table1[[#This Row],[Total% (50-54)]]</f>
        <v>0.36428907945330646</v>
      </c>
      <c r="EJ141" s="1">
        <f>$CT141*Table1[[#This Row],[Female%(50-54)]]</f>
        <v>0.14190310084897409</v>
      </c>
      <c r="EK141" s="1">
        <f>$CU141*Table1[[#This Row],[Male% (50-54)]]</f>
        <v>0.2223859786043321</v>
      </c>
      <c r="EL141" s="1">
        <f>$AF141*Table1[[#This Row],[Total% (55-59)]]</f>
        <v>0.10977390832603651</v>
      </c>
      <c r="EM141" s="1">
        <f>$CT141*Table1[[#This Row],[Female% (55-59)]]</f>
        <v>4.800890851638949E-2</v>
      </c>
      <c r="EN141" s="1">
        <f>$CU141*Table1[[#This Row],[Male% (55-59)]]</f>
        <v>6.1764999809647066E-2</v>
      </c>
      <c r="EO141" s="1">
        <f>$AF141*Table1[[#This Row],[Total% (60-64)]]</f>
        <v>8.8682567480108276E-2</v>
      </c>
      <c r="EP141" s="1">
        <f>$CT141*Table1[[#This Row],[Female%(60-64)]]</f>
        <v>3.8914798035557946E-2</v>
      </c>
      <c r="EQ141" s="1">
        <f>$CU141*Table1[[#This Row],[Male%(60-64)]]</f>
        <v>4.9767769444550171E-2</v>
      </c>
      <c r="ER141" s="1">
        <f>$AF141*Table1[[#This Row],[Total% (&gt;=65)]]</f>
        <v>6.4403291201888105E-2</v>
      </c>
      <c r="ES141" s="1">
        <f>$CT141*Table1[[#This Row],[Female%(&gt;=65)]]</f>
        <v>5.0937012220657191E-2</v>
      </c>
      <c r="ET141" s="1">
        <f>$CU141*Table1[[#This Row],[Male% (&gt;=65)]]</f>
        <v>1.3466278981231199E-2</v>
      </c>
    </row>
    <row r="142" spans="1:150" hidden="1" x14ac:dyDescent="0.35">
      <c r="A142" t="s">
        <v>12</v>
      </c>
      <c r="B142" t="s">
        <v>13</v>
      </c>
      <c r="C142" t="s">
        <v>88</v>
      </c>
      <c r="D142" t="s">
        <v>89</v>
      </c>
      <c r="E142" t="s">
        <v>555</v>
      </c>
      <c r="F142" t="s">
        <v>556</v>
      </c>
      <c r="H142">
        <v>2</v>
      </c>
      <c r="I142" s="1">
        <v>210</v>
      </c>
      <c r="J142" s="1">
        <v>9895</v>
      </c>
      <c r="K142" s="1">
        <v>521</v>
      </c>
      <c r="L142" s="1">
        <v>0</v>
      </c>
      <c r="M142" s="1">
        <v>0</v>
      </c>
      <c r="N142" s="1">
        <v>521</v>
      </c>
      <c r="O142" s="3">
        <v>1</v>
      </c>
      <c r="P142" s="3">
        <v>0</v>
      </c>
      <c r="Q142" s="3">
        <v>0</v>
      </c>
      <c r="R142" s="3">
        <v>0</v>
      </c>
      <c r="S142" s="3">
        <v>0</v>
      </c>
      <c r="T142" s="1">
        <v>10626</v>
      </c>
      <c r="U142" s="1">
        <v>0</v>
      </c>
      <c r="V142" s="10">
        <f>Table1[[#This Row],[Pop NW+RATAA]]*Table1[[#This Row],[Perc_pop_Northern_Aleppo]]</f>
        <v>0</v>
      </c>
      <c r="W142" s="10">
        <f>Table1[[#This Row],[Pop NW+RATAA]]*Table1[[#This Row],[Perc_pop_Afrin District]]</f>
        <v>0</v>
      </c>
      <c r="X142" s="10">
        <f>Table1[[#This Row],[Pop NW+RATAA]]*Table1[[#This Row],[Perc_pop_Euphrates Shiled]]</f>
        <v>0</v>
      </c>
      <c r="Y142" s="10">
        <f>Table1[[#This Row],[Pop NW+RATAA]]*Table1[[#This Row],[Perc_Pop_Idleb_NSAG]]</f>
        <v>0</v>
      </c>
      <c r="Z142" s="3">
        <v>0</v>
      </c>
      <c r="AA142" s="3">
        <v>0</v>
      </c>
      <c r="AB142" s="3">
        <v>0</v>
      </c>
      <c r="AC142" s="3">
        <v>0</v>
      </c>
      <c r="AD142" s="1">
        <v>521</v>
      </c>
      <c r="AE142" s="1">
        <v>0</v>
      </c>
      <c r="AF142" s="1">
        <v>0</v>
      </c>
      <c r="AG142" s="1">
        <v>0</v>
      </c>
      <c r="AH142" s="1">
        <v>0</v>
      </c>
      <c r="AI142" s="1">
        <f>Table1[[#This Row],[NWS_pin]]*Table1[[#This Row],[Perc_pop_Northern_Aleppo]]</f>
        <v>0</v>
      </c>
      <c r="AJ142" s="1">
        <f>Table1[[#This Row],[NWS_pin]]*Table1[[#This Row],[Perc_pop_Afrin District]]</f>
        <v>0</v>
      </c>
      <c r="AK142" s="1">
        <f>Table1[[#This Row],[NWS_pin]]*Table1[[#This Row],[Perc_pop_Euphrates Shiled]]</f>
        <v>0</v>
      </c>
      <c r="AL142" s="1">
        <f>Table1[[#This Row],[NWS_pin]]*Table1[[#This Row],[Perc_Pop_Idleb_NSAG]]</f>
        <v>0</v>
      </c>
      <c r="AM142" s="4">
        <v>0.42446814762576401</v>
      </c>
      <c r="AN142" s="4">
        <v>0.57553185237423599</v>
      </c>
      <c r="AO142" s="4">
        <v>9.2242482405630197E-2</v>
      </c>
      <c r="AP142" s="4">
        <v>0.51545864582787004</v>
      </c>
      <c r="AQ142" s="4">
        <v>0.46311777766123002</v>
      </c>
      <c r="AR142" s="4">
        <v>1.7482211849443199E-3</v>
      </c>
      <c r="AS142" s="4">
        <v>0</v>
      </c>
      <c r="AT142" s="4">
        <v>1.9675355325955799E-2</v>
      </c>
      <c r="AU142" s="4">
        <v>1.54152301102231E-2</v>
      </c>
      <c r="AV142" s="4">
        <v>2.0221599190828402E-2</v>
      </c>
      <c r="AW142" s="4">
        <v>1.1870420953207599E-2</v>
      </c>
      <c r="AX142" s="4">
        <v>2.9705701823120701E-2</v>
      </c>
      <c r="AY142" s="4">
        <v>2.5598129367469299E-2</v>
      </c>
      <c r="AZ142" s="4">
        <v>3.27351321913903E-2</v>
      </c>
      <c r="BA142" s="4">
        <v>4.2909777725539403E-2</v>
      </c>
      <c r="BB142" s="4">
        <v>3.2874520708102102E-2</v>
      </c>
      <c r="BC142" s="4">
        <v>5.0311013538236402E-2</v>
      </c>
      <c r="BD142" s="4">
        <v>7.0766729352765997E-2</v>
      </c>
      <c r="BE142" s="4">
        <v>8.0178756167818499E-2</v>
      </c>
      <c r="BF142" s="4">
        <v>6.3825140331917996E-2</v>
      </c>
      <c r="BG142" s="4">
        <v>6.1665817792404501E-2</v>
      </c>
      <c r="BH142" s="4">
        <v>4.3356447028871002E-2</v>
      </c>
      <c r="BI142" s="4">
        <v>7.5169405230927203E-2</v>
      </c>
      <c r="BJ142" s="4">
        <v>8.7391605286527702E-2</v>
      </c>
      <c r="BK142" s="4">
        <v>6.1620496963683401E-2</v>
      </c>
      <c r="BL142" s="4">
        <v>0.10639839798954499</v>
      </c>
      <c r="BM142" s="4">
        <v>2.71403058559265E-2</v>
      </c>
      <c r="BN142" s="4">
        <v>1.5145047092712499E-2</v>
      </c>
      <c r="BO142" s="4">
        <v>3.5987088612621503E-2</v>
      </c>
      <c r="BP142" s="4">
        <v>0.119601486182939</v>
      </c>
      <c r="BQ142" s="4">
        <v>0.115580015306574</v>
      </c>
      <c r="BR142" s="4">
        <v>0.122567414630826</v>
      </c>
      <c r="BS142" s="4">
        <v>8.7617699681345695E-2</v>
      </c>
      <c r="BT142" s="4">
        <v>5.6155511712605598E-2</v>
      </c>
      <c r="BU142" s="4">
        <v>0.110821796191821</v>
      </c>
      <c r="BV142" s="4">
        <v>4.1142650054850301E-2</v>
      </c>
      <c r="BW142" s="4">
        <v>5.6838154134890101E-2</v>
      </c>
      <c r="BX142" s="4">
        <v>2.9566850183090899E-2</v>
      </c>
      <c r="BY142" s="4">
        <v>6.1625822755054099E-2</v>
      </c>
      <c r="BZ142" s="4">
        <v>8.2961245139778206E-2</v>
      </c>
      <c r="CA142" s="4">
        <v>4.5890451756737199E-2</v>
      </c>
      <c r="CB142" s="4">
        <v>9.1416412004388103E-2</v>
      </c>
      <c r="CC142" s="4">
        <v>0.12768682288602001</v>
      </c>
      <c r="CD142" s="4">
        <v>6.4666139092402097E-2</v>
      </c>
      <c r="CE142" s="4">
        <v>0.11146535287050099</v>
      </c>
      <c r="CF142" s="4">
        <v>0.112378326199239</v>
      </c>
      <c r="CG142" s="4">
        <v>0.11079201377365901</v>
      </c>
      <c r="CH142" s="4">
        <v>8.2721164394295596E-2</v>
      </c>
      <c r="CI142" s="4">
        <v>9.2600925316996097E-2</v>
      </c>
      <c r="CJ142" s="4">
        <v>7.5434610573609395E-2</v>
      </c>
      <c r="CK142" s="4">
        <v>3.5915543540719803E-2</v>
      </c>
      <c r="CL142" s="4">
        <v>2.86825193543549E-2</v>
      </c>
      <c r="CM142" s="4">
        <v>4.1250067364993502E-2</v>
      </c>
      <c r="CN142" s="4">
        <v>1.3167345766076401E-2</v>
      </c>
      <c r="CO142" s="4">
        <v>1.52296562943477E-2</v>
      </c>
      <c r="CP142" s="4">
        <v>1.1646343711797E-2</v>
      </c>
      <c r="CQ142" s="4">
        <v>2.0331354803322401E-2</v>
      </c>
      <c r="CR142" s="4">
        <v>3.2891827135709303E-2</v>
      </c>
      <c r="CS142" s="4">
        <v>1.1067713873217699E-2</v>
      </c>
      <c r="CT142" s="1">
        <f>Table1[[#This Row],[Female %]]*Table1[[#This Row],[NWS_pin]]</f>
        <v>0</v>
      </c>
      <c r="CU142" s="1">
        <f>Table1[[#This Row],[Male %]]*Table1[[#This Row],[NWS_pin]]</f>
        <v>0</v>
      </c>
      <c r="CV142" s="1">
        <f>Table1[[#This Row],[Female% (0-2)22]]+Table1[[#This Row],[Male%(0-2)3]]</f>
        <v>0</v>
      </c>
      <c r="CW142" s="1">
        <f>$CT142*Table1[[#This Row],[Female% (0-2)]]</f>
        <v>0</v>
      </c>
      <c r="CX142" s="1">
        <f>$CU142*Table1[[#This Row],[Male%(0-2)]]</f>
        <v>0</v>
      </c>
      <c r="CY142" s="1">
        <f>Table1[[#This Row],[Female%  (3-5)5]]+Table1[[#This Row],[Male% (3-5)6]]</f>
        <v>0</v>
      </c>
      <c r="CZ142" s="1">
        <f>$AF142*Table1[[#This Row],[Female%  (3-5)]]</f>
        <v>0</v>
      </c>
      <c r="DA142" s="1">
        <f>$CU142*Table1[[#This Row],[Male% (3-5)]]</f>
        <v>0</v>
      </c>
      <c r="DB142" s="1">
        <f>Table1[[#This Row],[Female% (6-8)8]]+Table1[[#This Row],[Male%(6-8)9]]</f>
        <v>0</v>
      </c>
      <c r="DC142" s="1">
        <f>$CT142*Table1[[#This Row],[Female% (6-8)]]</f>
        <v>0</v>
      </c>
      <c r="DD142" s="1">
        <f>$CU142*Table1[[#This Row],[Male%(6-8)]]</f>
        <v>0</v>
      </c>
      <c r="DE142" s="1">
        <f>Table1[[#This Row],[Female% (9 - 11)11]]+Table1[[#This Row],[Male% (9 - 11)12]]</f>
        <v>0</v>
      </c>
      <c r="DF142" s="1">
        <f>$CT142*Table1[[#This Row],[Female% (9 - 11)]]</f>
        <v>0</v>
      </c>
      <c r="DG142" s="1">
        <f>$CU142*Table1[[#This Row],[Male% (9 - 11)]]</f>
        <v>0</v>
      </c>
      <c r="DH142" s="1">
        <f>Table1[[#This Row],[Female% (12-14)14]]+Table1[[#This Row],[Male%(12-14)15]]</f>
        <v>0</v>
      </c>
      <c r="DI142" s="1">
        <f>$CT142*Table1[[#This Row],[Female% (12-14)]]</f>
        <v>0</v>
      </c>
      <c r="DJ142" s="1">
        <f>$CU142*Table1[[#This Row],[Male%(12-14)]]</f>
        <v>0</v>
      </c>
      <c r="DK142" s="1">
        <f>Table1[[#This Row],[Female% (15-17)17]]+Table1[[#This Row],[Male%(15-17)18]]</f>
        <v>0</v>
      </c>
      <c r="DL142" s="1">
        <f>$CT142*Table1[[#This Row],[Female% (15-17)]]</f>
        <v>0</v>
      </c>
      <c r="DM142" s="1">
        <f>$CU142*Table1[[#This Row],[Male%(15-17)]]</f>
        <v>0</v>
      </c>
      <c r="DN142" s="1">
        <f>$AF142*Table1[[#This Row],[Total% (18-19)]]</f>
        <v>0</v>
      </c>
      <c r="DO142" s="1">
        <f>$CT142*Table1[[#This Row],[Female% (18-19)]]</f>
        <v>0</v>
      </c>
      <c r="DP142" s="1">
        <f>$CU142*Table1[[#This Row],[Male%(18-19)]]</f>
        <v>0</v>
      </c>
      <c r="DQ142" s="1">
        <f>$AF142*Table1[[#This Row],[Total% (20-24)]]</f>
        <v>0</v>
      </c>
      <c r="DR142" s="1">
        <f>$CT142*Table1[[#This Row],[Female% (20-24)]]</f>
        <v>0</v>
      </c>
      <c r="DS142" s="1">
        <f>$CU142*Table1[[#This Row],[Male% (20-24)]]</f>
        <v>0</v>
      </c>
      <c r="DT142" s="1">
        <f>$AF142*Table1[[#This Row],[Total% (25-29)]]</f>
        <v>0</v>
      </c>
      <c r="DU142" s="1">
        <f>$CT142*Table1[[#This Row],[Female% (25-29)]]</f>
        <v>0</v>
      </c>
      <c r="DV142" s="1">
        <f>$CU142*Table1[[#This Row],[Male% (25-29)]]</f>
        <v>0</v>
      </c>
      <c r="DW142" s="1">
        <f>$AF142*Table1[[#This Row],[Total%   (30-34)]]</f>
        <v>0</v>
      </c>
      <c r="DX142" s="1">
        <f>$CT142*Table1[[#This Row],[Female%   (30-34)]]</f>
        <v>0</v>
      </c>
      <c r="DY142" s="1">
        <f>$CU142*Table1[[#This Row],[Male%  (30-34)]]</f>
        <v>0</v>
      </c>
      <c r="DZ142" s="1">
        <f>$AF142*Table1[[#This Row],[Total% (35-39)]]</f>
        <v>0</v>
      </c>
      <c r="EA142" s="1">
        <f>$CT142*Table1[[#This Row],[Female% (35-39)]]</f>
        <v>0</v>
      </c>
      <c r="EB142" s="1">
        <f>$CU142*Table1[[#This Row],[Male% (35-39)]]</f>
        <v>0</v>
      </c>
      <c r="EC142" s="1">
        <f>$AF142*Table1[[#This Row],[Total% (40-44)]]</f>
        <v>0</v>
      </c>
      <c r="ED142" s="1">
        <f>$CT142*Table1[[#This Row],[Female% (40-44)]]</f>
        <v>0</v>
      </c>
      <c r="EE142" s="1">
        <f>$CU142*Table1[[#This Row],[Male%(55-59)]]</f>
        <v>0</v>
      </c>
      <c r="EF142" s="1">
        <f>$AF142*Table1[[#This Row],[Total% (45-49)]]</f>
        <v>0</v>
      </c>
      <c r="EG142" s="1">
        <f>$CT142*Table1[[#This Row],[Female% (45-49)]]</f>
        <v>0</v>
      </c>
      <c r="EH142" s="1">
        <f>$CU142*Table1[[#This Row],[Male% (45-49)]]</f>
        <v>0</v>
      </c>
      <c r="EI142" s="1">
        <f>$AF142*Table1[[#This Row],[Total% (50-54)]]</f>
        <v>0</v>
      </c>
      <c r="EJ142" s="1">
        <f>$CT142*Table1[[#This Row],[Female%(50-54)]]</f>
        <v>0</v>
      </c>
      <c r="EK142" s="1">
        <f>$CU142*Table1[[#This Row],[Male% (50-54)]]</f>
        <v>0</v>
      </c>
      <c r="EL142" s="1">
        <f>$AF142*Table1[[#This Row],[Total% (55-59)]]</f>
        <v>0</v>
      </c>
      <c r="EM142" s="1">
        <f>$CT142*Table1[[#This Row],[Female% (55-59)]]</f>
        <v>0</v>
      </c>
      <c r="EN142" s="1">
        <f>$CU142*Table1[[#This Row],[Male% (55-59)]]</f>
        <v>0</v>
      </c>
      <c r="EO142" s="1">
        <f>$AF142*Table1[[#This Row],[Total% (60-64)]]</f>
        <v>0</v>
      </c>
      <c r="EP142" s="1">
        <f>$CT142*Table1[[#This Row],[Female%(60-64)]]</f>
        <v>0</v>
      </c>
      <c r="EQ142" s="1">
        <f>$CU142*Table1[[#This Row],[Male%(60-64)]]</f>
        <v>0</v>
      </c>
      <c r="ER142" s="1">
        <f>$AF142*Table1[[#This Row],[Total% (&gt;=65)]]</f>
        <v>0</v>
      </c>
      <c r="ES142" s="1">
        <f>$CT142*Table1[[#This Row],[Female%(&gt;=65)]]</f>
        <v>0</v>
      </c>
      <c r="ET142" s="1">
        <f>$CU142*Table1[[#This Row],[Male% (&gt;=65)]]</f>
        <v>0</v>
      </c>
    </row>
    <row r="143" spans="1:150" hidden="1" x14ac:dyDescent="0.35">
      <c r="A143" t="s">
        <v>12</v>
      </c>
      <c r="B143" t="s">
        <v>13</v>
      </c>
      <c r="C143" t="s">
        <v>74</v>
      </c>
      <c r="D143" t="s">
        <v>75</v>
      </c>
      <c r="E143" t="s">
        <v>74</v>
      </c>
      <c r="F143" t="s">
        <v>91</v>
      </c>
      <c r="H143">
        <v>2</v>
      </c>
      <c r="I143" s="1">
        <v>1721</v>
      </c>
      <c r="J143" s="1">
        <v>38198</v>
      </c>
      <c r="K143" s="1">
        <v>4986</v>
      </c>
      <c r="L143" s="1">
        <v>0</v>
      </c>
      <c r="M143" s="1">
        <v>0</v>
      </c>
      <c r="N143" s="1">
        <v>4986</v>
      </c>
      <c r="O143" s="3">
        <v>1</v>
      </c>
      <c r="P143" s="3">
        <v>0</v>
      </c>
      <c r="Q143" s="3">
        <v>0</v>
      </c>
      <c r="R143" s="3">
        <v>0</v>
      </c>
      <c r="S143" s="3">
        <v>0</v>
      </c>
      <c r="T143" s="1">
        <v>44905</v>
      </c>
      <c r="U143" s="1">
        <v>0</v>
      </c>
      <c r="V143" s="10">
        <f>Table1[[#This Row],[Pop NW+RATAA]]*Table1[[#This Row],[Perc_pop_Northern_Aleppo]]</f>
        <v>0</v>
      </c>
      <c r="W143" s="10">
        <f>Table1[[#This Row],[Pop NW+RATAA]]*Table1[[#This Row],[Perc_pop_Afrin District]]</f>
        <v>0</v>
      </c>
      <c r="X143" s="10">
        <f>Table1[[#This Row],[Pop NW+RATAA]]*Table1[[#This Row],[Perc_pop_Euphrates Shiled]]</f>
        <v>0</v>
      </c>
      <c r="Y143" s="10">
        <f>Table1[[#This Row],[Pop NW+RATAA]]*Table1[[#This Row],[Perc_Pop_Idleb_NSAG]]</f>
        <v>0</v>
      </c>
      <c r="Z143" s="3">
        <v>0</v>
      </c>
      <c r="AA143" s="3">
        <v>0</v>
      </c>
      <c r="AB143" s="3">
        <v>0</v>
      </c>
      <c r="AC143" s="3">
        <v>0</v>
      </c>
      <c r="AD143" s="1">
        <v>4986</v>
      </c>
      <c r="AE143" s="1">
        <v>0</v>
      </c>
      <c r="AF143" s="1">
        <v>0</v>
      </c>
      <c r="AG143" s="1">
        <v>0</v>
      </c>
      <c r="AH143" s="1">
        <v>0</v>
      </c>
      <c r="AI143" s="1">
        <f>Table1[[#This Row],[NWS_pin]]*Table1[[#This Row],[Perc_pop_Northern_Aleppo]]</f>
        <v>0</v>
      </c>
      <c r="AJ143" s="1">
        <f>Table1[[#This Row],[NWS_pin]]*Table1[[#This Row],[Perc_pop_Afrin District]]</f>
        <v>0</v>
      </c>
      <c r="AK143" s="1">
        <f>Table1[[#This Row],[NWS_pin]]*Table1[[#This Row],[Perc_pop_Euphrates Shiled]]</f>
        <v>0</v>
      </c>
      <c r="AL143" s="1">
        <f>Table1[[#This Row],[NWS_pin]]*Table1[[#This Row],[Perc_Pop_Idleb_NSAG]]</f>
        <v>0</v>
      </c>
      <c r="AM143" s="4">
        <v>0.49056068980568002</v>
      </c>
      <c r="AN143" s="4">
        <v>0.50943931019431998</v>
      </c>
      <c r="AO143" s="4">
        <v>0.196762864071202</v>
      </c>
      <c r="AP143" s="4">
        <v>0.48306868868532898</v>
      </c>
      <c r="AQ143" s="4">
        <v>0.472030371726955</v>
      </c>
      <c r="AR143" s="4">
        <v>5.98259306380037E-3</v>
      </c>
      <c r="AS143" s="4">
        <v>0</v>
      </c>
      <c r="AT143" s="4">
        <v>3.8918346523915501E-2</v>
      </c>
      <c r="AU143" s="4">
        <v>2.7935882989573699E-2</v>
      </c>
      <c r="AV143" s="4">
        <v>3.3530251092840899E-2</v>
      </c>
      <c r="AW143" s="4">
        <v>2.25488289855965E-2</v>
      </c>
      <c r="AX143" s="4">
        <v>5.3100250749353102E-2</v>
      </c>
      <c r="AY143" s="4">
        <v>3.5304653575697099E-2</v>
      </c>
      <c r="AZ143" s="4">
        <v>7.0236385025451403E-2</v>
      </c>
      <c r="BA143" s="4">
        <v>6.6292428082145999E-2</v>
      </c>
      <c r="BB143" s="4">
        <v>4.8767378594517803E-2</v>
      </c>
      <c r="BC143" s="4">
        <v>8.3168040531939796E-2</v>
      </c>
      <c r="BD143" s="4">
        <v>4.8482721454435301E-2</v>
      </c>
      <c r="BE143" s="4">
        <v>2.70481983060013E-2</v>
      </c>
      <c r="BF143" s="4">
        <v>6.91229316834827E-2</v>
      </c>
      <c r="BG143" s="4">
        <v>3.4897362009914203E-2</v>
      </c>
      <c r="BH143" s="4">
        <v>3.5807994108083101E-2</v>
      </c>
      <c r="BI143" s="4">
        <v>3.4020475791482097E-2</v>
      </c>
      <c r="BJ143" s="4">
        <v>5.7610176059004099E-2</v>
      </c>
      <c r="BK143" s="4">
        <v>7.1051273549600294E-2</v>
      </c>
      <c r="BL143" s="4">
        <v>4.4667173968691902E-2</v>
      </c>
      <c r="BM143" s="4">
        <v>3.29519389650242E-2</v>
      </c>
      <c r="BN143" s="4">
        <v>3.6873507183134202E-2</v>
      </c>
      <c r="BO143" s="4">
        <v>2.9175694824260402E-2</v>
      </c>
      <c r="BP143" s="4">
        <v>0.11336097663087299</v>
      </c>
      <c r="BQ143" s="4">
        <v>0.102457398542927</v>
      </c>
      <c r="BR143" s="4">
        <v>0.123860493808164</v>
      </c>
      <c r="BS143" s="4">
        <v>0.106339282135333</v>
      </c>
      <c r="BT143" s="4">
        <v>0.166714301226429</v>
      </c>
      <c r="BU143" s="4">
        <v>4.8201618983540202E-2</v>
      </c>
      <c r="BV143" s="4">
        <v>6.3759458773332306E-2</v>
      </c>
      <c r="BW143" s="4">
        <v>7.5279188757420706E-2</v>
      </c>
      <c r="BX143" s="4">
        <v>5.2666622837263699E-2</v>
      </c>
      <c r="BY143" s="4">
        <v>8.7529428531980494E-2</v>
      </c>
      <c r="BZ143" s="4">
        <v>8.4163185470091301E-2</v>
      </c>
      <c r="CA143" s="4">
        <v>9.0770926558240206E-2</v>
      </c>
      <c r="CB143" s="4">
        <v>5.0934453317418402E-2</v>
      </c>
      <c r="CC143" s="4">
        <v>2.9771176164465299E-2</v>
      </c>
      <c r="CD143" s="4">
        <v>7.1313469288410994E-2</v>
      </c>
      <c r="CE143" s="4">
        <v>6.6270515350046993E-2</v>
      </c>
      <c r="CF143" s="4">
        <v>9.3455374649141498E-2</v>
      </c>
      <c r="CG143" s="4">
        <v>4.0093062877941198E-2</v>
      </c>
      <c r="CH143" s="4">
        <v>4.1757116070672999E-2</v>
      </c>
      <c r="CI143" s="4">
        <v>4.53631115306019E-2</v>
      </c>
      <c r="CJ143" s="4">
        <v>3.8284750305290403E-2</v>
      </c>
      <c r="CK143" s="4">
        <v>6.2030134460443503E-2</v>
      </c>
      <c r="CL143" s="4">
        <v>5.91268966514054E-2</v>
      </c>
      <c r="CM143" s="4">
        <v>6.4825785117493095E-2</v>
      </c>
      <c r="CN143" s="4">
        <v>4.0059502866024999E-2</v>
      </c>
      <c r="CO143" s="4">
        <v>1.9950588374576899E-2</v>
      </c>
      <c r="CP143" s="4">
        <v>5.9423228371238798E-2</v>
      </c>
      <c r="CQ143" s="4">
        <v>4.6688371554423298E-2</v>
      </c>
      <c r="CR143" s="4">
        <v>3.5335522223065498E-2</v>
      </c>
      <c r="CS143" s="4">
        <v>5.7620511041512501E-2</v>
      </c>
      <c r="CT143" s="1">
        <f>Table1[[#This Row],[Female %]]*Table1[[#This Row],[NWS_pin]]</f>
        <v>0</v>
      </c>
      <c r="CU143" s="1">
        <f>Table1[[#This Row],[Male %]]*Table1[[#This Row],[NWS_pin]]</f>
        <v>0</v>
      </c>
      <c r="CV143" s="1">
        <f>Table1[[#This Row],[Female% (0-2)22]]+Table1[[#This Row],[Male%(0-2)3]]</f>
        <v>0</v>
      </c>
      <c r="CW143" s="1">
        <f>$CT143*Table1[[#This Row],[Female% (0-2)]]</f>
        <v>0</v>
      </c>
      <c r="CX143" s="1">
        <f>$CU143*Table1[[#This Row],[Male%(0-2)]]</f>
        <v>0</v>
      </c>
      <c r="CY143" s="1">
        <f>Table1[[#This Row],[Female%  (3-5)5]]+Table1[[#This Row],[Male% (3-5)6]]</f>
        <v>0</v>
      </c>
      <c r="CZ143" s="1">
        <f>$AF143*Table1[[#This Row],[Female%  (3-5)]]</f>
        <v>0</v>
      </c>
      <c r="DA143" s="1">
        <f>$CU143*Table1[[#This Row],[Male% (3-5)]]</f>
        <v>0</v>
      </c>
      <c r="DB143" s="1">
        <f>Table1[[#This Row],[Female% (6-8)8]]+Table1[[#This Row],[Male%(6-8)9]]</f>
        <v>0</v>
      </c>
      <c r="DC143" s="1">
        <f>$CT143*Table1[[#This Row],[Female% (6-8)]]</f>
        <v>0</v>
      </c>
      <c r="DD143" s="1">
        <f>$CU143*Table1[[#This Row],[Male%(6-8)]]</f>
        <v>0</v>
      </c>
      <c r="DE143" s="1">
        <f>Table1[[#This Row],[Female% (9 - 11)11]]+Table1[[#This Row],[Male% (9 - 11)12]]</f>
        <v>0</v>
      </c>
      <c r="DF143" s="1">
        <f>$CT143*Table1[[#This Row],[Female% (9 - 11)]]</f>
        <v>0</v>
      </c>
      <c r="DG143" s="1">
        <f>$CU143*Table1[[#This Row],[Male% (9 - 11)]]</f>
        <v>0</v>
      </c>
      <c r="DH143" s="1">
        <f>Table1[[#This Row],[Female% (12-14)14]]+Table1[[#This Row],[Male%(12-14)15]]</f>
        <v>0</v>
      </c>
      <c r="DI143" s="1">
        <f>$CT143*Table1[[#This Row],[Female% (12-14)]]</f>
        <v>0</v>
      </c>
      <c r="DJ143" s="1">
        <f>$CU143*Table1[[#This Row],[Male%(12-14)]]</f>
        <v>0</v>
      </c>
      <c r="DK143" s="1">
        <f>Table1[[#This Row],[Female% (15-17)17]]+Table1[[#This Row],[Male%(15-17)18]]</f>
        <v>0</v>
      </c>
      <c r="DL143" s="1">
        <f>$CT143*Table1[[#This Row],[Female% (15-17)]]</f>
        <v>0</v>
      </c>
      <c r="DM143" s="1">
        <f>$CU143*Table1[[#This Row],[Male%(15-17)]]</f>
        <v>0</v>
      </c>
      <c r="DN143" s="1">
        <f>$AF143*Table1[[#This Row],[Total% (18-19)]]</f>
        <v>0</v>
      </c>
      <c r="DO143" s="1">
        <f>$CT143*Table1[[#This Row],[Female% (18-19)]]</f>
        <v>0</v>
      </c>
      <c r="DP143" s="1">
        <f>$CU143*Table1[[#This Row],[Male%(18-19)]]</f>
        <v>0</v>
      </c>
      <c r="DQ143" s="1">
        <f>$AF143*Table1[[#This Row],[Total% (20-24)]]</f>
        <v>0</v>
      </c>
      <c r="DR143" s="1">
        <f>$CT143*Table1[[#This Row],[Female% (20-24)]]</f>
        <v>0</v>
      </c>
      <c r="DS143" s="1">
        <f>$CU143*Table1[[#This Row],[Male% (20-24)]]</f>
        <v>0</v>
      </c>
      <c r="DT143" s="1">
        <f>$AF143*Table1[[#This Row],[Total% (25-29)]]</f>
        <v>0</v>
      </c>
      <c r="DU143" s="1">
        <f>$CT143*Table1[[#This Row],[Female% (25-29)]]</f>
        <v>0</v>
      </c>
      <c r="DV143" s="1">
        <f>$CU143*Table1[[#This Row],[Male% (25-29)]]</f>
        <v>0</v>
      </c>
      <c r="DW143" s="1">
        <f>$AF143*Table1[[#This Row],[Total%   (30-34)]]</f>
        <v>0</v>
      </c>
      <c r="DX143" s="1">
        <f>$CT143*Table1[[#This Row],[Female%   (30-34)]]</f>
        <v>0</v>
      </c>
      <c r="DY143" s="1">
        <f>$CU143*Table1[[#This Row],[Male%  (30-34)]]</f>
        <v>0</v>
      </c>
      <c r="DZ143" s="1">
        <f>$AF143*Table1[[#This Row],[Total% (35-39)]]</f>
        <v>0</v>
      </c>
      <c r="EA143" s="1">
        <f>$CT143*Table1[[#This Row],[Female% (35-39)]]</f>
        <v>0</v>
      </c>
      <c r="EB143" s="1">
        <f>$CU143*Table1[[#This Row],[Male% (35-39)]]</f>
        <v>0</v>
      </c>
      <c r="EC143" s="1">
        <f>$AF143*Table1[[#This Row],[Total% (40-44)]]</f>
        <v>0</v>
      </c>
      <c r="ED143" s="1">
        <f>$CT143*Table1[[#This Row],[Female% (40-44)]]</f>
        <v>0</v>
      </c>
      <c r="EE143" s="1">
        <f>$CU143*Table1[[#This Row],[Male%(55-59)]]</f>
        <v>0</v>
      </c>
      <c r="EF143" s="1">
        <f>$AF143*Table1[[#This Row],[Total% (45-49)]]</f>
        <v>0</v>
      </c>
      <c r="EG143" s="1">
        <f>$CT143*Table1[[#This Row],[Female% (45-49)]]</f>
        <v>0</v>
      </c>
      <c r="EH143" s="1">
        <f>$CU143*Table1[[#This Row],[Male% (45-49)]]</f>
        <v>0</v>
      </c>
      <c r="EI143" s="1">
        <f>$AF143*Table1[[#This Row],[Total% (50-54)]]</f>
        <v>0</v>
      </c>
      <c r="EJ143" s="1">
        <f>$CT143*Table1[[#This Row],[Female%(50-54)]]</f>
        <v>0</v>
      </c>
      <c r="EK143" s="1">
        <f>$CU143*Table1[[#This Row],[Male% (50-54)]]</f>
        <v>0</v>
      </c>
      <c r="EL143" s="1">
        <f>$AF143*Table1[[#This Row],[Total% (55-59)]]</f>
        <v>0</v>
      </c>
      <c r="EM143" s="1">
        <f>$CT143*Table1[[#This Row],[Female% (55-59)]]</f>
        <v>0</v>
      </c>
      <c r="EN143" s="1">
        <f>$CU143*Table1[[#This Row],[Male% (55-59)]]</f>
        <v>0</v>
      </c>
      <c r="EO143" s="1">
        <f>$AF143*Table1[[#This Row],[Total% (60-64)]]</f>
        <v>0</v>
      </c>
      <c r="EP143" s="1">
        <f>$CT143*Table1[[#This Row],[Female%(60-64)]]</f>
        <v>0</v>
      </c>
      <c r="EQ143" s="1">
        <f>$CU143*Table1[[#This Row],[Male%(60-64)]]</f>
        <v>0</v>
      </c>
      <c r="ER143" s="1">
        <f>$AF143*Table1[[#This Row],[Total% (&gt;=65)]]</f>
        <v>0</v>
      </c>
      <c r="ES143" s="1">
        <f>$CT143*Table1[[#This Row],[Female%(&gt;=65)]]</f>
        <v>0</v>
      </c>
      <c r="ET143" s="1">
        <f>$CU143*Table1[[#This Row],[Male% (&gt;=65)]]</f>
        <v>0</v>
      </c>
    </row>
    <row r="144" spans="1:150" hidden="1" x14ac:dyDescent="0.35">
      <c r="A144" t="s">
        <v>12</v>
      </c>
      <c r="B144" t="s">
        <v>13</v>
      </c>
      <c r="C144" t="s">
        <v>74</v>
      </c>
      <c r="D144" t="s">
        <v>75</v>
      </c>
      <c r="E144" t="s">
        <v>577</v>
      </c>
      <c r="F144" t="s">
        <v>578</v>
      </c>
      <c r="H144">
        <v>2</v>
      </c>
      <c r="I144" s="1">
        <v>67</v>
      </c>
      <c r="J144" s="1">
        <v>5852</v>
      </c>
      <c r="K144" s="1">
        <v>666</v>
      </c>
      <c r="L144" s="1">
        <v>0</v>
      </c>
      <c r="M144" s="1">
        <v>0</v>
      </c>
      <c r="N144" s="1">
        <v>666</v>
      </c>
      <c r="O144" s="3">
        <v>1</v>
      </c>
      <c r="P144" s="3">
        <v>0</v>
      </c>
      <c r="Q144" s="3">
        <v>0</v>
      </c>
      <c r="R144" s="3">
        <v>0</v>
      </c>
      <c r="S144" s="3">
        <v>0</v>
      </c>
      <c r="T144" s="1">
        <v>6585</v>
      </c>
      <c r="U144" s="1">
        <v>0</v>
      </c>
      <c r="V144" s="10">
        <f>Table1[[#This Row],[Pop NW+RATAA]]*Table1[[#This Row],[Perc_pop_Northern_Aleppo]]</f>
        <v>0</v>
      </c>
      <c r="W144" s="10">
        <f>Table1[[#This Row],[Pop NW+RATAA]]*Table1[[#This Row],[Perc_pop_Afrin District]]</f>
        <v>0</v>
      </c>
      <c r="X144" s="10">
        <f>Table1[[#This Row],[Pop NW+RATAA]]*Table1[[#This Row],[Perc_pop_Euphrates Shiled]]</f>
        <v>0</v>
      </c>
      <c r="Y144" s="10">
        <f>Table1[[#This Row],[Pop NW+RATAA]]*Table1[[#This Row],[Perc_Pop_Idleb_NSAG]]</f>
        <v>0</v>
      </c>
      <c r="Z144" s="3">
        <v>0</v>
      </c>
      <c r="AA144" s="3">
        <v>0</v>
      </c>
      <c r="AB144" s="3">
        <v>0</v>
      </c>
      <c r="AC144" s="3">
        <v>0</v>
      </c>
      <c r="AD144" s="1">
        <v>666</v>
      </c>
      <c r="AE144" s="1">
        <v>0</v>
      </c>
      <c r="AF144" s="1">
        <v>0</v>
      </c>
      <c r="AG144" s="1">
        <v>0</v>
      </c>
      <c r="AH144" s="1">
        <v>0</v>
      </c>
      <c r="AI144" s="1">
        <f>Table1[[#This Row],[NWS_pin]]*Table1[[#This Row],[Perc_pop_Northern_Aleppo]]</f>
        <v>0</v>
      </c>
      <c r="AJ144" s="1">
        <f>Table1[[#This Row],[NWS_pin]]*Table1[[#This Row],[Perc_pop_Afrin District]]</f>
        <v>0</v>
      </c>
      <c r="AK144" s="1">
        <f>Table1[[#This Row],[NWS_pin]]*Table1[[#This Row],[Perc_pop_Euphrates Shiled]]</f>
        <v>0</v>
      </c>
      <c r="AL144" s="1">
        <f>Table1[[#This Row],[NWS_pin]]*Table1[[#This Row],[Perc_Pop_Idleb_NSAG]]</f>
        <v>0</v>
      </c>
      <c r="AM144" s="4">
        <v>0.499409757000571</v>
      </c>
      <c r="AN144" s="4">
        <v>0.500590242999429</v>
      </c>
      <c r="AO144" s="4">
        <v>0.25292650918635201</v>
      </c>
      <c r="AP144" s="4">
        <v>0.46571099466633997</v>
      </c>
      <c r="AQ144" s="4">
        <v>0.48253088052354598</v>
      </c>
      <c r="AR144" s="4">
        <v>5.7015988712864497E-3</v>
      </c>
      <c r="AS144" s="4">
        <v>0</v>
      </c>
      <c r="AT144" s="4">
        <v>4.6056525938827697E-2</v>
      </c>
      <c r="AU144" s="4">
        <v>1.86523754795902E-2</v>
      </c>
      <c r="AV144" s="4">
        <v>1.69179182999653E-2</v>
      </c>
      <c r="AW144" s="4">
        <v>2.0382742482778798E-2</v>
      </c>
      <c r="AX144" s="4">
        <v>4.8486937430379899E-2</v>
      </c>
      <c r="AY144" s="4">
        <v>4.2073787719777898E-2</v>
      </c>
      <c r="AZ144" s="4">
        <v>5.4884963727076401E-2</v>
      </c>
      <c r="BA144" s="4">
        <v>5.7397245901212299E-2</v>
      </c>
      <c r="BB144" s="4">
        <v>5.04688327121606E-2</v>
      </c>
      <c r="BC144" s="4">
        <v>6.4309320588109203E-2</v>
      </c>
      <c r="BD144" s="4">
        <v>4.67958174968722E-2</v>
      </c>
      <c r="BE144" s="4">
        <v>1.9104495174443199E-2</v>
      </c>
      <c r="BF144" s="4">
        <v>7.44218384700467E-2</v>
      </c>
      <c r="BG144" s="4">
        <v>5.3815917110246601E-2</v>
      </c>
      <c r="BH144" s="4">
        <v>2.9125674036583098E-2</v>
      </c>
      <c r="BI144" s="4">
        <v>7.8447935944295999E-2</v>
      </c>
      <c r="BJ144" s="4">
        <v>5.7403342005578201E-2</v>
      </c>
      <c r="BK144" s="4">
        <v>6.3129825499944406E-2</v>
      </c>
      <c r="BL144" s="4">
        <v>5.16903626369562E-2</v>
      </c>
      <c r="BM144" s="4">
        <v>3.4311639443521801E-2</v>
      </c>
      <c r="BN144" s="4">
        <v>4.43764411960181E-2</v>
      </c>
      <c r="BO144" s="4">
        <v>2.4270572387648699E-2</v>
      </c>
      <c r="BP144" s="4">
        <v>0.101980859065299</v>
      </c>
      <c r="BQ144" s="4">
        <v>0.107849644180862</v>
      </c>
      <c r="BR144" s="4">
        <v>9.6125913649482503E-2</v>
      </c>
      <c r="BS144" s="4">
        <v>0.108193622422214</v>
      </c>
      <c r="BT144" s="4">
        <v>0.17134346952735199</v>
      </c>
      <c r="BU144" s="4">
        <v>4.51926945406926E-2</v>
      </c>
      <c r="BV144" s="4">
        <v>5.9379388556188399E-2</v>
      </c>
      <c r="BW144" s="4">
        <v>5.6703306234640302E-2</v>
      </c>
      <c r="BX144" s="4">
        <v>6.2049160172011501E-2</v>
      </c>
      <c r="BY144" s="4">
        <v>6.3502172579654403E-2</v>
      </c>
      <c r="BZ144" s="4">
        <v>7.5982484943022399E-2</v>
      </c>
      <c r="CA144" s="4">
        <v>5.1051291141503898E-2</v>
      </c>
      <c r="CB144" s="4">
        <v>5.3393430572887299E-2</v>
      </c>
      <c r="CC144" s="4">
        <v>5.6444237816467902E-2</v>
      </c>
      <c r="CD144" s="4">
        <v>5.0349817706917099E-2</v>
      </c>
      <c r="CE144" s="4">
        <v>5.6492334110895798E-2</v>
      </c>
      <c r="CF144" s="4">
        <v>3.73651415065515E-2</v>
      </c>
      <c r="CG144" s="4">
        <v>7.5574421195540906E-2</v>
      </c>
      <c r="CH144" s="4">
        <v>5.3839657839671602E-2</v>
      </c>
      <c r="CI144" s="4">
        <v>7.5832063011019496E-2</v>
      </c>
      <c r="CJ144" s="4">
        <v>3.1899114898459202E-2</v>
      </c>
      <c r="CK144" s="4">
        <v>5.4414963490203798E-2</v>
      </c>
      <c r="CL144" s="4">
        <v>3.5670241158806897E-2</v>
      </c>
      <c r="CM144" s="4">
        <v>7.3115482238781906E-2</v>
      </c>
      <c r="CN144" s="4">
        <v>5.3993764328921702E-2</v>
      </c>
      <c r="CO144" s="4">
        <v>7.1593788605326295E-2</v>
      </c>
      <c r="CP144" s="4">
        <v>3.6435244221901898E-2</v>
      </c>
      <c r="CQ144" s="4">
        <v>7.7946532166662599E-2</v>
      </c>
      <c r="CR144" s="4">
        <v>4.6018648377057998E-2</v>
      </c>
      <c r="CS144" s="4">
        <v>0.109799123997796</v>
      </c>
      <c r="CT144" s="1">
        <f>Table1[[#This Row],[Female %]]*Table1[[#This Row],[NWS_pin]]</f>
        <v>0</v>
      </c>
      <c r="CU144" s="1">
        <f>Table1[[#This Row],[Male %]]*Table1[[#This Row],[NWS_pin]]</f>
        <v>0</v>
      </c>
      <c r="CV144" s="1">
        <f>Table1[[#This Row],[Female% (0-2)22]]+Table1[[#This Row],[Male%(0-2)3]]</f>
        <v>0</v>
      </c>
      <c r="CW144" s="1">
        <f>$CT144*Table1[[#This Row],[Female% (0-2)]]</f>
        <v>0</v>
      </c>
      <c r="CX144" s="1">
        <f>$CU144*Table1[[#This Row],[Male%(0-2)]]</f>
        <v>0</v>
      </c>
      <c r="CY144" s="1">
        <f>Table1[[#This Row],[Female%  (3-5)5]]+Table1[[#This Row],[Male% (3-5)6]]</f>
        <v>0</v>
      </c>
      <c r="CZ144" s="1">
        <f>$AF144*Table1[[#This Row],[Female%  (3-5)]]</f>
        <v>0</v>
      </c>
      <c r="DA144" s="1">
        <f>$CU144*Table1[[#This Row],[Male% (3-5)]]</f>
        <v>0</v>
      </c>
      <c r="DB144" s="1">
        <f>Table1[[#This Row],[Female% (6-8)8]]+Table1[[#This Row],[Male%(6-8)9]]</f>
        <v>0</v>
      </c>
      <c r="DC144" s="1">
        <f>$CT144*Table1[[#This Row],[Female% (6-8)]]</f>
        <v>0</v>
      </c>
      <c r="DD144" s="1">
        <f>$CU144*Table1[[#This Row],[Male%(6-8)]]</f>
        <v>0</v>
      </c>
      <c r="DE144" s="1">
        <f>Table1[[#This Row],[Female% (9 - 11)11]]+Table1[[#This Row],[Male% (9 - 11)12]]</f>
        <v>0</v>
      </c>
      <c r="DF144" s="1">
        <f>$CT144*Table1[[#This Row],[Female% (9 - 11)]]</f>
        <v>0</v>
      </c>
      <c r="DG144" s="1">
        <f>$CU144*Table1[[#This Row],[Male% (9 - 11)]]</f>
        <v>0</v>
      </c>
      <c r="DH144" s="1">
        <f>Table1[[#This Row],[Female% (12-14)14]]+Table1[[#This Row],[Male%(12-14)15]]</f>
        <v>0</v>
      </c>
      <c r="DI144" s="1">
        <f>$CT144*Table1[[#This Row],[Female% (12-14)]]</f>
        <v>0</v>
      </c>
      <c r="DJ144" s="1">
        <f>$CU144*Table1[[#This Row],[Male%(12-14)]]</f>
        <v>0</v>
      </c>
      <c r="DK144" s="1">
        <f>Table1[[#This Row],[Female% (15-17)17]]+Table1[[#This Row],[Male%(15-17)18]]</f>
        <v>0</v>
      </c>
      <c r="DL144" s="1">
        <f>$CT144*Table1[[#This Row],[Female% (15-17)]]</f>
        <v>0</v>
      </c>
      <c r="DM144" s="1">
        <f>$CU144*Table1[[#This Row],[Male%(15-17)]]</f>
        <v>0</v>
      </c>
      <c r="DN144" s="1">
        <f>$AF144*Table1[[#This Row],[Total% (18-19)]]</f>
        <v>0</v>
      </c>
      <c r="DO144" s="1">
        <f>$CT144*Table1[[#This Row],[Female% (18-19)]]</f>
        <v>0</v>
      </c>
      <c r="DP144" s="1">
        <f>$CU144*Table1[[#This Row],[Male%(18-19)]]</f>
        <v>0</v>
      </c>
      <c r="DQ144" s="1">
        <f>$AF144*Table1[[#This Row],[Total% (20-24)]]</f>
        <v>0</v>
      </c>
      <c r="DR144" s="1">
        <f>$CT144*Table1[[#This Row],[Female% (20-24)]]</f>
        <v>0</v>
      </c>
      <c r="DS144" s="1">
        <f>$CU144*Table1[[#This Row],[Male% (20-24)]]</f>
        <v>0</v>
      </c>
      <c r="DT144" s="1">
        <f>$AF144*Table1[[#This Row],[Total% (25-29)]]</f>
        <v>0</v>
      </c>
      <c r="DU144" s="1">
        <f>$CT144*Table1[[#This Row],[Female% (25-29)]]</f>
        <v>0</v>
      </c>
      <c r="DV144" s="1">
        <f>$CU144*Table1[[#This Row],[Male% (25-29)]]</f>
        <v>0</v>
      </c>
      <c r="DW144" s="1">
        <f>$AF144*Table1[[#This Row],[Total%   (30-34)]]</f>
        <v>0</v>
      </c>
      <c r="DX144" s="1">
        <f>$CT144*Table1[[#This Row],[Female%   (30-34)]]</f>
        <v>0</v>
      </c>
      <c r="DY144" s="1">
        <f>$CU144*Table1[[#This Row],[Male%  (30-34)]]</f>
        <v>0</v>
      </c>
      <c r="DZ144" s="1">
        <f>$AF144*Table1[[#This Row],[Total% (35-39)]]</f>
        <v>0</v>
      </c>
      <c r="EA144" s="1">
        <f>$CT144*Table1[[#This Row],[Female% (35-39)]]</f>
        <v>0</v>
      </c>
      <c r="EB144" s="1">
        <f>$CU144*Table1[[#This Row],[Male% (35-39)]]</f>
        <v>0</v>
      </c>
      <c r="EC144" s="1">
        <f>$AF144*Table1[[#This Row],[Total% (40-44)]]</f>
        <v>0</v>
      </c>
      <c r="ED144" s="1">
        <f>$CT144*Table1[[#This Row],[Female% (40-44)]]</f>
        <v>0</v>
      </c>
      <c r="EE144" s="1">
        <f>$CU144*Table1[[#This Row],[Male%(55-59)]]</f>
        <v>0</v>
      </c>
      <c r="EF144" s="1">
        <f>$AF144*Table1[[#This Row],[Total% (45-49)]]</f>
        <v>0</v>
      </c>
      <c r="EG144" s="1">
        <f>$CT144*Table1[[#This Row],[Female% (45-49)]]</f>
        <v>0</v>
      </c>
      <c r="EH144" s="1">
        <f>$CU144*Table1[[#This Row],[Male% (45-49)]]</f>
        <v>0</v>
      </c>
      <c r="EI144" s="1">
        <f>$AF144*Table1[[#This Row],[Total% (50-54)]]</f>
        <v>0</v>
      </c>
      <c r="EJ144" s="1">
        <f>$CT144*Table1[[#This Row],[Female%(50-54)]]</f>
        <v>0</v>
      </c>
      <c r="EK144" s="1">
        <f>$CU144*Table1[[#This Row],[Male% (50-54)]]</f>
        <v>0</v>
      </c>
      <c r="EL144" s="1">
        <f>$AF144*Table1[[#This Row],[Total% (55-59)]]</f>
        <v>0</v>
      </c>
      <c r="EM144" s="1">
        <f>$CT144*Table1[[#This Row],[Female% (55-59)]]</f>
        <v>0</v>
      </c>
      <c r="EN144" s="1">
        <f>$CU144*Table1[[#This Row],[Male% (55-59)]]</f>
        <v>0</v>
      </c>
      <c r="EO144" s="1">
        <f>$AF144*Table1[[#This Row],[Total% (60-64)]]</f>
        <v>0</v>
      </c>
      <c r="EP144" s="1">
        <f>$CT144*Table1[[#This Row],[Female%(60-64)]]</f>
        <v>0</v>
      </c>
      <c r="EQ144" s="1">
        <f>$CU144*Table1[[#This Row],[Male%(60-64)]]</f>
        <v>0</v>
      </c>
      <c r="ER144" s="1">
        <f>$AF144*Table1[[#This Row],[Total% (&gt;=65)]]</f>
        <v>0</v>
      </c>
      <c r="ES144" s="1">
        <f>$CT144*Table1[[#This Row],[Female%(&gt;=65)]]</f>
        <v>0</v>
      </c>
      <c r="ET144" s="1">
        <f>$CU144*Table1[[#This Row],[Male% (&gt;=65)]]</f>
        <v>0</v>
      </c>
    </row>
    <row r="145" spans="1:150" hidden="1" x14ac:dyDescent="0.35">
      <c r="A145" t="s">
        <v>12</v>
      </c>
      <c r="B145" t="s">
        <v>13</v>
      </c>
      <c r="C145" t="s">
        <v>74</v>
      </c>
      <c r="D145" t="s">
        <v>75</v>
      </c>
      <c r="E145" t="s">
        <v>76</v>
      </c>
      <c r="F145" t="s">
        <v>77</v>
      </c>
      <c r="H145">
        <v>2</v>
      </c>
      <c r="I145" s="1">
        <v>179</v>
      </c>
      <c r="J145" s="1">
        <v>17112</v>
      </c>
      <c r="K145" s="1">
        <v>1212</v>
      </c>
      <c r="L145" s="1">
        <v>0</v>
      </c>
      <c r="M145" s="1">
        <v>0</v>
      </c>
      <c r="N145" s="1">
        <v>1212</v>
      </c>
      <c r="O145" s="3">
        <v>1</v>
      </c>
      <c r="P145" s="3">
        <v>0</v>
      </c>
      <c r="Q145" s="3">
        <v>0</v>
      </c>
      <c r="R145" s="3">
        <v>0</v>
      </c>
      <c r="S145" s="3">
        <v>0</v>
      </c>
      <c r="T145" s="1">
        <v>18503</v>
      </c>
      <c r="U145" s="1">
        <v>0</v>
      </c>
      <c r="V145" s="10">
        <f>Table1[[#This Row],[Pop NW+RATAA]]*Table1[[#This Row],[Perc_pop_Northern_Aleppo]]</f>
        <v>0</v>
      </c>
      <c r="W145" s="10">
        <f>Table1[[#This Row],[Pop NW+RATAA]]*Table1[[#This Row],[Perc_pop_Afrin District]]</f>
        <v>0</v>
      </c>
      <c r="X145" s="10">
        <f>Table1[[#This Row],[Pop NW+RATAA]]*Table1[[#This Row],[Perc_pop_Euphrates Shiled]]</f>
        <v>0</v>
      </c>
      <c r="Y145" s="10">
        <f>Table1[[#This Row],[Pop NW+RATAA]]*Table1[[#This Row],[Perc_Pop_Idleb_NSAG]]</f>
        <v>0</v>
      </c>
      <c r="Z145" s="3">
        <v>0</v>
      </c>
      <c r="AA145" s="3">
        <v>0</v>
      </c>
      <c r="AB145" s="3">
        <v>0</v>
      </c>
      <c r="AC145" s="3">
        <v>0</v>
      </c>
      <c r="AD145" s="1">
        <v>1212</v>
      </c>
      <c r="AE145" s="1">
        <v>0</v>
      </c>
      <c r="AF145" s="1">
        <v>0</v>
      </c>
      <c r="AG145" s="1">
        <v>0</v>
      </c>
      <c r="AH145" s="1">
        <v>0</v>
      </c>
      <c r="AI145" s="1">
        <f>Table1[[#This Row],[NWS_pin]]*Table1[[#This Row],[Perc_pop_Northern_Aleppo]]</f>
        <v>0</v>
      </c>
      <c r="AJ145" s="1">
        <f>Table1[[#This Row],[NWS_pin]]*Table1[[#This Row],[Perc_pop_Afrin District]]</f>
        <v>0</v>
      </c>
      <c r="AK145" s="1">
        <f>Table1[[#This Row],[NWS_pin]]*Table1[[#This Row],[Perc_pop_Euphrates Shiled]]</f>
        <v>0</v>
      </c>
      <c r="AL145" s="1">
        <f>Table1[[#This Row],[NWS_pin]]*Table1[[#This Row],[Perc_Pop_Idleb_NSAG]]</f>
        <v>0</v>
      </c>
      <c r="AM145" s="4">
        <v>0.52317223893601805</v>
      </c>
      <c r="AN145" s="4">
        <v>0.476827761063982</v>
      </c>
      <c r="AO145" s="4">
        <v>0.213942051581888</v>
      </c>
      <c r="AP145" s="4">
        <v>0.46222880251957998</v>
      </c>
      <c r="AQ145" s="4">
        <v>0.49842264691879901</v>
      </c>
      <c r="AR145" s="4">
        <v>1.1296254636581E-2</v>
      </c>
      <c r="AS145" s="4">
        <v>0</v>
      </c>
      <c r="AT145" s="4">
        <v>2.80522959250404E-2</v>
      </c>
      <c r="AU145" s="4">
        <v>2.4478283388273799E-2</v>
      </c>
      <c r="AV145" s="4">
        <v>5.9899179245434704E-3</v>
      </c>
      <c r="AW145" s="4">
        <v>4.4763594655268801E-2</v>
      </c>
      <c r="AX145" s="4">
        <v>3.8434354671937003E-2</v>
      </c>
      <c r="AY145" s="4">
        <v>2.9811993059414899E-2</v>
      </c>
      <c r="AZ145" s="4">
        <v>4.78947523209192E-2</v>
      </c>
      <c r="BA145" s="4">
        <v>5.7484653743962902E-2</v>
      </c>
      <c r="BB145" s="4">
        <v>5.1654107257414601E-2</v>
      </c>
      <c r="BC145" s="4">
        <v>6.3881890458498E-2</v>
      </c>
      <c r="BD145" s="4">
        <v>5.0553362713880001E-2</v>
      </c>
      <c r="BE145" s="4">
        <v>6.1889861992434E-2</v>
      </c>
      <c r="BF145" s="4">
        <v>3.8115031321379902E-2</v>
      </c>
      <c r="BG145" s="4">
        <v>4.6899803859609103E-2</v>
      </c>
      <c r="BH145" s="4">
        <v>4.9624111206614599E-2</v>
      </c>
      <c r="BI145" s="4">
        <v>4.39107120099601E-2</v>
      </c>
      <c r="BJ145" s="4">
        <v>6.1766460180134999E-2</v>
      </c>
      <c r="BK145" s="4">
        <v>6.3487411701426202E-2</v>
      </c>
      <c r="BL145" s="4">
        <v>5.9878243649945602E-2</v>
      </c>
      <c r="BM145" s="4">
        <v>4.5240370142533702E-2</v>
      </c>
      <c r="BN145" s="4">
        <v>4.3812890117528903E-2</v>
      </c>
      <c r="BO145" s="4">
        <v>4.6806591704490898E-2</v>
      </c>
      <c r="BP145" s="4">
        <v>9.3908055218475006E-2</v>
      </c>
      <c r="BQ145" s="4">
        <v>8.9875573393470798E-2</v>
      </c>
      <c r="BR145" s="4">
        <v>9.8332467379689606E-2</v>
      </c>
      <c r="BS145" s="4">
        <v>9.7980445794013299E-2</v>
      </c>
      <c r="BT145" s="4">
        <v>0.144311990378962</v>
      </c>
      <c r="BU145" s="4">
        <v>4.7145784112854999E-2</v>
      </c>
      <c r="BV145" s="4">
        <v>7.6874318697283797E-2</v>
      </c>
      <c r="BW145" s="4">
        <v>9.9898678894295503E-2</v>
      </c>
      <c r="BX145" s="4">
        <v>5.1612144264609298E-2</v>
      </c>
      <c r="BY145" s="4">
        <v>7.3688205960499006E-2</v>
      </c>
      <c r="BZ145" s="4">
        <v>4.8296393719163597E-2</v>
      </c>
      <c r="CA145" s="4">
        <v>0.101547932984991</v>
      </c>
      <c r="CB145" s="4">
        <v>5.2581143971534398E-2</v>
      </c>
      <c r="CC145" s="4">
        <v>6.0194029023939999E-2</v>
      </c>
      <c r="CD145" s="4">
        <v>4.4228337270971599E-2</v>
      </c>
      <c r="CE145" s="4">
        <v>6.0644589498168498E-2</v>
      </c>
      <c r="CF145" s="4">
        <v>6.5018843581299002E-2</v>
      </c>
      <c r="CG145" s="4">
        <v>5.5845187095003301E-2</v>
      </c>
      <c r="CH145" s="4">
        <v>5.9704087909786603E-2</v>
      </c>
      <c r="CI145" s="4">
        <v>7.1160653815981606E-2</v>
      </c>
      <c r="CJ145" s="4">
        <v>4.7134020214299001E-2</v>
      </c>
      <c r="CK145" s="4">
        <v>5.4359309002451298E-2</v>
      </c>
      <c r="CL145" s="4">
        <v>3.38505415407599E-2</v>
      </c>
      <c r="CM145" s="4">
        <v>7.6861391865264195E-2</v>
      </c>
      <c r="CN145" s="4">
        <v>3.4199292847513503E-2</v>
      </c>
      <c r="CO145" s="4">
        <v>3.2238696084930997E-2</v>
      </c>
      <c r="CP145" s="4">
        <v>3.6350446537982702E-2</v>
      </c>
      <c r="CQ145" s="4">
        <v>7.1203262399943207E-2</v>
      </c>
      <c r="CR145" s="4">
        <v>4.8884306307819599E-2</v>
      </c>
      <c r="CS145" s="4">
        <v>9.5691472153871804E-2</v>
      </c>
      <c r="CT145" s="1">
        <f>Table1[[#This Row],[Female %]]*Table1[[#This Row],[NWS_pin]]</f>
        <v>0</v>
      </c>
      <c r="CU145" s="1">
        <f>Table1[[#This Row],[Male %]]*Table1[[#This Row],[NWS_pin]]</f>
        <v>0</v>
      </c>
      <c r="CV145" s="1">
        <f>Table1[[#This Row],[Female% (0-2)22]]+Table1[[#This Row],[Male%(0-2)3]]</f>
        <v>0</v>
      </c>
      <c r="CW145" s="1">
        <f>$CT145*Table1[[#This Row],[Female% (0-2)]]</f>
        <v>0</v>
      </c>
      <c r="CX145" s="1">
        <f>$CU145*Table1[[#This Row],[Male%(0-2)]]</f>
        <v>0</v>
      </c>
      <c r="CY145" s="1">
        <f>Table1[[#This Row],[Female%  (3-5)5]]+Table1[[#This Row],[Male% (3-5)6]]</f>
        <v>0</v>
      </c>
      <c r="CZ145" s="1">
        <f>$AF145*Table1[[#This Row],[Female%  (3-5)]]</f>
        <v>0</v>
      </c>
      <c r="DA145" s="1">
        <f>$CU145*Table1[[#This Row],[Male% (3-5)]]</f>
        <v>0</v>
      </c>
      <c r="DB145" s="1">
        <f>Table1[[#This Row],[Female% (6-8)8]]+Table1[[#This Row],[Male%(6-8)9]]</f>
        <v>0</v>
      </c>
      <c r="DC145" s="1">
        <f>$CT145*Table1[[#This Row],[Female% (6-8)]]</f>
        <v>0</v>
      </c>
      <c r="DD145" s="1">
        <f>$CU145*Table1[[#This Row],[Male%(6-8)]]</f>
        <v>0</v>
      </c>
      <c r="DE145" s="1">
        <f>Table1[[#This Row],[Female% (9 - 11)11]]+Table1[[#This Row],[Male% (9 - 11)12]]</f>
        <v>0</v>
      </c>
      <c r="DF145" s="1">
        <f>$CT145*Table1[[#This Row],[Female% (9 - 11)]]</f>
        <v>0</v>
      </c>
      <c r="DG145" s="1">
        <f>$CU145*Table1[[#This Row],[Male% (9 - 11)]]</f>
        <v>0</v>
      </c>
      <c r="DH145" s="1">
        <f>Table1[[#This Row],[Female% (12-14)14]]+Table1[[#This Row],[Male%(12-14)15]]</f>
        <v>0</v>
      </c>
      <c r="DI145" s="1">
        <f>$CT145*Table1[[#This Row],[Female% (12-14)]]</f>
        <v>0</v>
      </c>
      <c r="DJ145" s="1">
        <f>$CU145*Table1[[#This Row],[Male%(12-14)]]</f>
        <v>0</v>
      </c>
      <c r="DK145" s="1">
        <f>Table1[[#This Row],[Female% (15-17)17]]+Table1[[#This Row],[Male%(15-17)18]]</f>
        <v>0</v>
      </c>
      <c r="DL145" s="1">
        <f>$CT145*Table1[[#This Row],[Female% (15-17)]]</f>
        <v>0</v>
      </c>
      <c r="DM145" s="1">
        <f>$CU145*Table1[[#This Row],[Male%(15-17)]]</f>
        <v>0</v>
      </c>
      <c r="DN145" s="1">
        <f>$AF145*Table1[[#This Row],[Total% (18-19)]]</f>
        <v>0</v>
      </c>
      <c r="DO145" s="1">
        <f>$CT145*Table1[[#This Row],[Female% (18-19)]]</f>
        <v>0</v>
      </c>
      <c r="DP145" s="1">
        <f>$CU145*Table1[[#This Row],[Male%(18-19)]]</f>
        <v>0</v>
      </c>
      <c r="DQ145" s="1">
        <f>$AF145*Table1[[#This Row],[Total% (20-24)]]</f>
        <v>0</v>
      </c>
      <c r="DR145" s="1">
        <f>$CT145*Table1[[#This Row],[Female% (20-24)]]</f>
        <v>0</v>
      </c>
      <c r="DS145" s="1">
        <f>$CU145*Table1[[#This Row],[Male% (20-24)]]</f>
        <v>0</v>
      </c>
      <c r="DT145" s="1">
        <f>$AF145*Table1[[#This Row],[Total% (25-29)]]</f>
        <v>0</v>
      </c>
      <c r="DU145" s="1">
        <f>$CT145*Table1[[#This Row],[Female% (25-29)]]</f>
        <v>0</v>
      </c>
      <c r="DV145" s="1">
        <f>$CU145*Table1[[#This Row],[Male% (25-29)]]</f>
        <v>0</v>
      </c>
      <c r="DW145" s="1">
        <f>$AF145*Table1[[#This Row],[Total%   (30-34)]]</f>
        <v>0</v>
      </c>
      <c r="DX145" s="1">
        <f>$CT145*Table1[[#This Row],[Female%   (30-34)]]</f>
        <v>0</v>
      </c>
      <c r="DY145" s="1">
        <f>$CU145*Table1[[#This Row],[Male%  (30-34)]]</f>
        <v>0</v>
      </c>
      <c r="DZ145" s="1">
        <f>$AF145*Table1[[#This Row],[Total% (35-39)]]</f>
        <v>0</v>
      </c>
      <c r="EA145" s="1">
        <f>$CT145*Table1[[#This Row],[Female% (35-39)]]</f>
        <v>0</v>
      </c>
      <c r="EB145" s="1">
        <f>$CU145*Table1[[#This Row],[Male% (35-39)]]</f>
        <v>0</v>
      </c>
      <c r="EC145" s="1">
        <f>$AF145*Table1[[#This Row],[Total% (40-44)]]</f>
        <v>0</v>
      </c>
      <c r="ED145" s="1">
        <f>$CT145*Table1[[#This Row],[Female% (40-44)]]</f>
        <v>0</v>
      </c>
      <c r="EE145" s="1">
        <f>$CU145*Table1[[#This Row],[Male%(55-59)]]</f>
        <v>0</v>
      </c>
      <c r="EF145" s="1">
        <f>$AF145*Table1[[#This Row],[Total% (45-49)]]</f>
        <v>0</v>
      </c>
      <c r="EG145" s="1">
        <f>$CT145*Table1[[#This Row],[Female% (45-49)]]</f>
        <v>0</v>
      </c>
      <c r="EH145" s="1">
        <f>$CU145*Table1[[#This Row],[Male% (45-49)]]</f>
        <v>0</v>
      </c>
      <c r="EI145" s="1">
        <f>$AF145*Table1[[#This Row],[Total% (50-54)]]</f>
        <v>0</v>
      </c>
      <c r="EJ145" s="1">
        <f>$CT145*Table1[[#This Row],[Female%(50-54)]]</f>
        <v>0</v>
      </c>
      <c r="EK145" s="1">
        <f>$CU145*Table1[[#This Row],[Male% (50-54)]]</f>
        <v>0</v>
      </c>
      <c r="EL145" s="1">
        <f>$AF145*Table1[[#This Row],[Total% (55-59)]]</f>
        <v>0</v>
      </c>
      <c r="EM145" s="1">
        <f>$CT145*Table1[[#This Row],[Female% (55-59)]]</f>
        <v>0</v>
      </c>
      <c r="EN145" s="1">
        <f>$CU145*Table1[[#This Row],[Male% (55-59)]]</f>
        <v>0</v>
      </c>
      <c r="EO145" s="1">
        <f>$AF145*Table1[[#This Row],[Total% (60-64)]]</f>
        <v>0</v>
      </c>
      <c r="EP145" s="1">
        <f>$CT145*Table1[[#This Row],[Female%(60-64)]]</f>
        <v>0</v>
      </c>
      <c r="EQ145" s="1">
        <f>$CU145*Table1[[#This Row],[Male%(60-64)]]</f>
        <v>0</v>
      </c>
      <c r="ER145" s="1">
        <f>$AF145*Table1[[#This Row],[Total% (&gt;=65)]]</f>
        <v>0</v>
      </c>
      <c r="ES145" s="1">
        <f>$CT145*Table1[[#This Row],[Female%(&gt;=65)]]</f>
        <v>0</v>
      </c>
      <c r="ET145" s="1">
        <f>$CU145*Table1[[#This Row],[Male% (&gt;=65)]]</f>
        <v>0</v>
      </c>
    </row>
    <row r="146" spans="1:150" hidden="1" x14ac:dyDescent="0.35">
      <c r="A146" t="s">
        <v>12</v>
      </c>
      <c r="B146" t="s">
        <v>13</v>
      </c>
      <c r="C146" t="s">
        <v>74</v>
      </c>
      <c r="D146" t="s">
        <v>75</v>
      </c>
      <c r="E146" t="s">
        <v>571</v>
      </c>
      <c r="F146" t="s">
        <v>572</v>
      </c>
      <c r="H146">
        <v>2</v>
      </c>
      <c r="I146" s="1">
        <v>0</v>
      </c>
      <c r="J146" s="1">
        <v>6680</v>
      </c>
      <c r="K146" s="1">
        <v>328</v>
      </c>
      <c r="L146" s="1">
        <v>0</v>
      </c>
      <c r="M146" s="1">
        <v>0</v>
      </c>
      <c r="N146" s="1">
        <v>328</v>
      </c>
      <c r="O146" s="3">
        <v>1</v>
      </c>
      <c r="P146" s="3">
        <v>0</v>
      </c>
      <c r="Q146" s="3">
        <v>0</v>
      </c>
      <c r="R146" s="3">
        <v>0</v>
      </c>
      <c r="S146" s="3">
        <v>0</v>
      </c>
      <c r="T146" s="1">
        <v>7008</v>
      </c>
      <c r="U146" s="1">
        <v>0</v>
      </c>
      <c r="V146" s="10">
        <f>Table1[[#This Row],[Pop NW+RATAA]]*Table1[[#This Row],[Perc_pop_Northern_Aleppo]]</f>
        <v>0</v>
      </c>
      <c r="W146" s="10">
        <f>Table1[[#This Row],[Pop NW+RATAA]]*Table1[[#This Row],[Perc_pop_Afrin District]]</f>
        <v>0</v>
      </c>
      <c r="X146" s="10">
        <f>Table1[[#This Row],[Pop NW+RATAA]]*Table1[[#This Row],[Perc_pop_Euphrates Shiled]]</f>
        <v>0</v>
      </c>
      <c r="Y146" s="10">
        <f>Table1[[#This Row],[Pop NW+RATAA]]*Table1[[#This Row],[Perc_Pop_Idleb_NSAG]]</f>
        <v>0</v>
      </c>
      <c r="Z146" s="3">
        <v>0</v>
      </c>
      <c r="AA146" s="3">
        <v>0</v>
      </c>
      <c r="AB146" s="3">
        <v>0</v>
      </c>
      <c r="AC146" s="3">
        <v>0</v>
      </c>
      <c r="AD146" s="1">
        <v>328</v>
      </c>
      <c r="AE146" s="1">
        <v>0</v>
      </c>
      <c r="AF146" s="1">
        <v>0</v>
      </c>
      <c r="AG146" s="1">
        <v>0</v>
      </c>
      <c r="AH146" s="1">
        <v>0</v>
      </c>
      <c r="AI146" s="1">
        <f>Table1[[#This Row],[NWS_pin]]*Table1[[#This Row],[Perc_pop_Northern_Aleppo]]</f>
        <v>0</v>
      </c>
      <c r="AJ146" s="1">
        <f>Table1[[#This Row],[NWS_pin]]*Table1[[#This Row],[Perc_pop_Afrin District]]</f>
        <v>0</v>
      </c>
      <c r="AK146" s="1">
        <f>Table1[[#This Row],[NWS_pin]]*Table1[[#This Row],[Perc_pop_Euphrates Shiled]]</f>
        <v>0</v>
      </c>
      <c r="AL146" s="1">
        <f>Table1[[#This Row],[NWS_pin]]*Table1[[#This Row],[Perc_Pop_Idleb_NSAG]]</f>
        <v>0</v>
      </c>
      <c r="AM146" s="4">
        <v>0.540028030538105</v>
      </c>
      <c r="AN146" s="4">
        <v>0.459971969461895</v>
      </c>
      <c r="AO146" s="4">
        <v>8.6629629629629598E-2</v>
      </c>
      <c r="AP146" s="4">
        <v>0.402411213784786</v>
      </c>
      <c r="AQ146" s="4">
        <v>0.55998748525073605</v>
      </c>
      <c r="AR146" s="4">
        <v>3.1199934991985E-3</v>
      </c>
      <c r="AS146" s="4">
        <v>0</v>
      </c>
      <c r="AT146" s="4">
        <v>3.4481307465279998E-2</v>
      </c>
      <c r="AU146" s="4">
        <v>4.8438292872306998E-2</v>
      </c>
      <c r="AV146" s="4">
        <v>5.9935209909059102E-2</v>
      </c>
      <c r="AW146" s="4">
        <v>3.4940388919854203E-2</v>
      </c>
      <c r="AX146" s="4">
        <v>7.5374344707162602E-2</v>
      </c>
      <c r="AY146" s="4">
        <v>7.2295690972364698E-2</v>
      </c>
      <c r="AZ146" s="4">
        <v>7.8988824335250798E-2</v>
      </c>
      <c r="BA146" s="4">
        <v>7.7202299022772106E-2</v>
      </c>
      <c r="BB146" s="4">
        <v>9.0131426661790207E-2</v>
      </c>
      <c r="BC146" s="4">
        <v>6.2022914627581999E-2</v>
      </c>
      <c r="BD146" s="4">
        <v>8.4179964532697701E-2</v>
      </c>
      <c r="BE146" s="4">
        <v>6.5696733785638201E-2</v>
      </c>
      <c r="BF146" s="4">
        <v>0.105880118805126</v>
      </c>
      <c r="BG146" s="4">
        <v>7.6755844080515501E-2</v>
      </c>
      <c r="BH146" s="4">
        <v>8.0750662139211296E-2</v>
      </c>
      <c r="BI146" s="4">
        <v>7.2065745831443095E-2</v>
      </c>
      <c r="BJ146" s="4">
        <v>6.2642361167947899E-2</v>
      </c>
      <c r="BK146" s="4">
        <v>6.3594254789063998E-2</v>
      </c>
      <c r="BL146" s="4">
        <v>6.1524794725595897E-2</v>
      </c>
      <c r="BM146" s="4">
        <v>9.3741859992584296E-3</v>
      </c>
      <c r="BN146" s="4">
        <v>4.4951191216348503E-3</v>
      </c>
      <c r="BO146" s="4">
        <v>1.5102432613653601E-2</v>
      </c>
      <c r="BP146" s="4">
        <v>6.1185622327141802E-2</v>
      </c>
      <c r="BQ146" s="4">
        <v>7.3500278701709804E-2</v>
      </c>
      <c r="BR146" s="4">
        <v>4.6727655167770402E-2</v>
      </c>
      <c r="BS146" s="4">
        <v>7.78357072501044E-2</v>
      </c>
      <c r="BT146" s="4">
        <v>0.124067202808214</v>
      </c>
      <c r="BU146" s="4">
        <v>2.3557826960389099E-2</v>
      </c>
      <c r="BV146" s="4">
        <v>9.7870800912677205E-2</v>
      </c>
      <c r="BW146" s="4">
        <v>8.8582088551838994E-2</v>
      </c>
      <c r="BX146" s="4">
        <v>0.108776172055894</v>
      </c>
      <c r="BY146" s="4">
        <v>9.6059549180590398E-2</v>
      </c>
      <c r="BZ146" s="4">
        <v>0.105478481384252</v>
      </c>
      <c r="CA146" s="4">
        <v>8.5001294014160095E-2</v>
      </c>
      <c r="CB146" s="4">
        <v>7.64028101796531E-2</v>
      </c>
      <c r="CC146" s="4">
        <v>5.83292233522648E-2</v>
      </c>
      <c r="CD146" s="4">
        <v>9.7622023842981506E-2</v>
      </c>
      <c r="CE146" s="4">
        <v>5.7001202586013697E-2</v>
      </c>
      <c r="CF146" s="4">
        <v>4.9543030714145397E-2</v>
      </c>
      <c r="CG146" s="4">
        <v>6.5757435867123099E-2</v>
      </c>
      <c r="CH146" s="4">
        <v>3.2627373768501403E-2</v>
      </c>
      <c r="CI146" s="4">
        <v>1.9826585740039499E-2</v>
      </c>
      <c r="CJ146" s="4">
        <v>4.7656081618749499E-2</v>
      </c>
      <c r="CK146" s="4">
        <v>4.2852657592322797E-2</v>
      </c>
      <c r="CL146" s="4">
        <v>1.7608771247002799E-2</v>
      </c>
      <c r="CM146" s="4">
        <v>7.2490129288998104E-2</v>
      </c>
      <c r="CN146" s="4">
        <v>1.0067020728818E-2</v>
      </c>
      <c r="CO146" s="4">
        <v>5.2894946701142198E-3</v>
      </c>
      <c r="CP146" s="4">
        <v>1.5676053799560399E-2</v>
      </c>
      <c r="CQ146" s="4">
        <v>1.4129963091516101E-2</v>
      </c>
      <c r="CR146" s="4">
        <v>2.0875745451655801E-2</v>
      </c>
      <c r="CS146" s="4">
        <v>6.2101075258678903E-3</v>
      </c>
      <c r="CT146" s="1">
        <f>Table1[[#This Row],[Female %]]*Table1[[#This Row],[NWS_pin]]</f>
        <v>0</v>
      </c>
      <c r="CU146" s="1">
        <f>Table1[[#This Row],[Male %]]*Table1[[#This Row],[NWS_pin]]</f>
        <v>0</v>
      </c>
      <c r="CV146" s="1">
        <f>Table1[[#This Row],[Female% (0-2)22]]+Table1[[#This Row],[Male%(0-2)3]]</f>
        <v>0</v>
      </c>
      <c r="CW146" s="1">
        <f>$CT146*Table1[[#This Row],[Female% (0-2)]]</f>
        <v>0</v>
      </c>
      <c r="CX146" s="1">
        <f>$CU146*Table1[[#This Row],[Male%(0-2)]]</f>
        <v>0</v>
      </c>
      <c r="CY146" s="1">
        <f>Table1[[#This Row],[Female%  (3-5)5]]+Table1[[#This Row],[Male% (3-5)6]]</f>
        <v>0</v>
      </c>
      <c r="CZ146" s="1">
        <f>$AF146*Table1[[#This Row],[Female%  (3-5)]]</f>
        <v>0</v>
      </c>
      <c r="DA146" s="1">
        <f>$CU146*Table1[[#This Row],[Male% (3-5)]]</f>
        <v>0</v>
      </c>
      <c r="DB146" s="1">
        <f>Table1[[#This Row],[Female% (6-8)8]]+Table1[[#This Row],[Male%(6-8)9]]</f>
        <v>0</v>
      </c>
      <c r="DC146" s="1">
        <f>$CT146*Table1[[#This Row],[Female% (6-8)]]</f>
        <v>0</v>
      </c>
      <c r="DD146" s="1">
        <f>$CU146*Table1[[#This Row],[Male%(6-8)]]</f>
        <v>0</v>
      </c>
      <c r="DE146" s="1">
        <f>Table1[[#This Row],[Female% (9 - 11)11]]+Table1[[#This Row],[Male% (9 - 11)12]]</f>
        <v>0</v>
      </c>
      <c r="DF146" s="1">
        <f>$CT146*Table1[[#This Row],[Female% (9 - 11)]]</f>
        <v>0</v>
      </c>
      <c r="DG146" s="1">
        <f>$CU146*Table1[[#This Row],[Male% (9 - 11)]]</f>
        <v>0</v>
      </c>
      <c r="DH146" s="1">
        <f>Table1[[#This Row],[Female% (12-14)14]]+Table1[[#This Row],[Male%(12-14)15]]</f>
        <v>0</v>
      </c>
      <c r="DI146" s="1">
        <f>$CT146*Table1[[#This Row],[Female% (12-14)]]</f>
        <v>0</v>
      </c>
      <c r="DJ146" s="1">
        <f>$CU146*Table1[[#This Row],[Male%(12-14)]]</f>
        <v>0</v>
      </c>
      <c r="DK146" s="1">
        <f>Table1[[#This Row],[Female% (15-17)17]]+Table1[[#This Row],[Male%(15-17)18]]</f>
        <v>0</v>
      </c>
      <c r="DL146" s="1">
        <f>$CT146*Table1[[#This Row],[Female% (15-17)]]</f>
        <v>0</v>
      </c>
      <c r="DM146" s="1">
        <f>$CU146*Table1[[#This Row],[Male%(15-17)]]</f>
        <v>0</v>
      </c>
      <c r="DN146" s="1">
        <f>$AF146*Table1[[#This Row],[Total% (18-19)]]</f>
        <v>0</v>
      </c>
      <c r="DO146" s="1">
        <f>$CT146*Table1[[#This Row],[Female% (18-19)]]</f>
        <v>0</v>
      </c>
      <c r="DP146" s="1">
        <f>$CU146*Table1[[#This Row],[Male%(18-19)]]</f>
        <v>0</v>
      </c>
      <c r="DQ146" s="1">
        <f>$AF146*Table1[[#This Row],[Total% (20-24)]]</f>
        <v>0</v>
      </c>
      <c r="DR146" s="1">
        <f>$CT146*Table1[[#This Row],[Female% (20-24)]]</f>
        <v>0</v>
      </c>
      <c r="DS146" s="1">
        <f>$CU146*Table1[[#This Row],[Male% (20-24)]]</f>
        <v>0</v>
      </c>
      <c r="DT146" s="1">
        <f>$AF146*Table1[[#This Row],[Total% (25-29)]]</f>
        <v>0</v>
      </c>
      <c r="DU146" s="1">
        <f>$CT146*Table1[[#This Row],[Female% (25-29)]]</f>
        <v>0</v>
      </c>
      <c r="DV146" s="1">
        <f>$CU146*Table1[[#This Row],[Male% (25-29)]]</f>
        <v>0</v>
      </c>
      <c r="DW146" s="1">
        <f>$AF146*Table1[[#This Row],[Total%   (30-34)]]</f>
        <v>0</v>
      </c>
      <c r="DX146" s="1">
        <f>$CT146*Table1[[#This Row],[Female%   (30-34)]]</f>
        <v>0</v>
      </c>
      <c r="DY146" s="1">
        <f>$CU146*Table1[[#This Row],[Male%  (30-34)]]</f>
        <v>0</v>
      </c>
      <c r="DZ146" s="1">
        <f>$AF146*Table1[[#This Row],[Total% (35-39)]]</f>
        <v>0</v>
      </c>
      <c r="EA146" s="1">
        <f>$CT146*Table1[[#This Row],[Female% (35-39)]]</f>
        <v>0</v>
      </c>
      <c r="EB146" s="1">
        <f>$CU146*Table1[[#This Row],[Male% (35-39)]]</f>
        <v>0</v>
      </c>
      <c r="EC146" s="1">
        <f>$AF146*Table1[[#This Row],[Total% (40-44)]]</f>
        <v>0</v>
      </c>
      <c r="ED146" s="1">
        <f>$CT146*Table1[[#This Row],[Female% (40-44)]]</f>
        <v>0</v>
      </c>
      <c r="EE146" s="1">
        <f>$CU146*Table1[[#This Row],[Male%(55-59)]]</f>
        <v>0</v>
      </c>
      <c r="EF146" s="1">
        <f>$AF146*Table1[[#This Row],[Total% (45-49)]]</f>
        <v>0</v>
      </c>
      <c r="EG146" s="1">
        <f>$CT146*Table1[[#This Row],[Female% (45-49)]]</f>
        <v>0</v>
      </c>
      <c r="EH146" s="1">
        <f>$CU146*Table1[[#This Row],[Male% (45-49)]]</f>
        <v>0</v>
      </c>
      <c r="EI146" s="1">
        <f>$AF146*Table1[[#This Row],[Total% (50-54)]]</f>
        <v>0</v>
      </c>
      <c r="EJ146" s="1">
        <f>$CT146*Table1[[#This Row],[Female%(50-54)]]</f>
        <v>0</v>
      </c>
      <c r="EK146" s="1">
        <f>$CU146*Table1[[#This Row],[Male% (50-54)]]</f>
        <v>0</v>
      </c>
      <c r="EL146" s="1">
        <f>$AF146*Table1[[#This Row],[Total% (55-59)]]</f>
        <v>0</v>
      </c>
      <c r="EM146" s="1">
        <f>$CT146*Table1[[#This Row],[Female% (55-59)]]</f>
        <v>0</v>
      </c>
      <c r="EN146" s="1">
        <f>$CU146*Table1[[#This Row],[Male% (55-59)]]</f>
        <v>0</v>
      </c>
      <c r="EO146" s="1">
        <f>$AF146*Table1[[#This Row],[Total% (60-64)]]</f>
        <v>0</v>
      </c>
      <c r="EP146" s="1">
        <f>$CT146*Table1[[#This Row],[Female%(60-64)]]</f>
        <v>0</v>
      </c>
      <c r="EQ146" s="1">
        <f>$CU146*Table1[[#This Row],[Male%(60-64)]]</f>
        <v>0</v>
      </c>
      <c r="ER146" s="1">
        <f>$AF146*Table1[[#This Row],[Total% (&gt;=65)]]</f>
        <v>0</v>
      </c>
      <c r="ES146" s="1">
        <f>$CT146*Table1[[#This Row],[Female%(&gt;=65)]]</f>
        <v>0</v>
      </c>
      <c r="ET146" s="1">
        <f>$CU146*Table1[[#This Row],[Male% (&gt;=65)]]</f>
        <v>0</v>
      </c>
    </row>
    <row r="147" spans="1:150" x14ac:dyDescent="0.35">
      <c r="A147" t="s">
        <v>192</v>
      </c>
      <c r="B147" t="s">
        <v>193</v>
      </c>
      <c r="C147" t="s">
        <v>192</v>
      </c>
      <c r="D147" t="s">
        <v>247</v>
      </c>
      <c r="E147" t="s">
        <v>192</v>
      </c>
      <c r="F147" t="s">
        <v>462</v>
      </c>
      <c r="G147" t="s">
        <v>1143</v>
      </c>
      <c r="H147">
        <v>4</v>
      </c>
      <c r="I147" s="1">
        <v>0</v>
      </c>
      <c r="J147" s="1">
        <v>36165</v>
      </c>
      <c r="K147" s="1">
        <v>189868</v>
      </c>
      <c r="L147" s="1">
        <v>75344</v>
      </c>
      <c r="M147" s="1">
        <v>0</v>
      </c>
      <c r="N147" s="1">
        <v>265212</v>
      </c>
      <c r="O147" s="3">
        <v>0</v>
      </c>
      <c r="P147" s="3">
        <v>0</v>
      </c>
      <c r="Q147" s="3">
        <v>1</v>
      </c>
      <c r="R147" s="3">
        <v>0</v>
      </c>
      <c r="S147" s="3">
        <v>0</v>
      </c>
      <c r="T147" s="1">
        <v>301377</v>
      </c>
      <c r="U147" s="1">
        <v>301374.5</v>
      </c>
      <c r="V147" s="10">
        <f>Table1[[#This Row],[Pop NW+RATAA]]*Table1[[#This Row],[Perc_pop_Northern_Aleppo]]</f>
        <v>0</v>
      </c>
      <c r="W147" s="10">
        <f>Table1[[#This Row],[Pop NW+RATAA]]*Table1[[#This Row],[Perc_pop_Afrin District]]</f>
        <v>0</v>
      </c>
      <c r="X147" s="10">
        <f>Table1[[#This Row],[Pop NW+RATAA]]*Table1[[#This Row],[Perc_pop_Euphrates Shiled]]</f>
        <v>0</v>
      </c>
      <c r="Y147" s="10">
        <f>Table1[[#This Row],[Pop NW+RATAA]]*Table1[[#This Row],[Perc_Pop_Idleb_NSAG]]</f>
        <v>301374.5</v>
      </c>
      <c r="Z147" s="3">
        <v>0</v>
      </c>
      <c r="AA147" s="3">
        <v>0</v>
      </c>
      <c r="AB147" s="3">
        <v>0</v>
      </c>
      <c r="AC147" s="3">
        <v>1</v>
      </c>
      <c r="AD147" s="1">
        <v>0</v>
      </c>
      <c r="AE147" s="1">
        <v>0</v>
      </c>
      <c r="AF147" s="1">
        <v>265212</v>
      </c>
      <c r="AG147" s="1">
        <v>0</v>
      </c>
      <c r="AH147" s="1">
        <v>0</v>
      </c>
      <c r="AI147" s="1">
        <f>Table1[[#This Row],[NWS_pin]]*Table1[[#This Row],[Perc_pop_Northern_Aleppo]]</f>
        <v>0</v>
      </c>
      <c r="AJ147" s="1">
        <f>Table1[[#This Row],[NWS_pin]]*Table1[[#This Row],[Perc_pop_Afrin District]]</f>
        <v>0</v>
      </c>
      <c r="AK147" s="1">
        <f>Table1[[#This Row],[NWS_pin]]*Table1[[#This Row],[Perc_pop_Euphrates Shiled]]</f>
        <v>0</v>
      </c>
      <c r="AL147" s="1">
        <f>Table1[[#This Row],[NWS_pin]]*Table1[[#This Row],[Perc_Pop_Idleb_NSAG]]</f>
        <v>265212</v>
      </c>
      <c r="AM147" s="4">
        <v>0.477196902500655</v>
      </c>
      <c r="AN147" s="4">
        <v>0.52280309749934495</v>
      </c>
      <c r="AO147" s="4">
        <v>0.13665351879339799</v>
      </c>
      <c r="AP147" s="4">
        <v>0.423844237396858</v>
      </c>
      <c r="AQ147" s="4">
        <v>0.54809381771348797</v>
      </c>
      <c r="AR147" s="4">
        <v>0</v>
      </c>
      <c r="AS147" s="4">
        <v>0</v>
      </c>
      <c r="AT147" s="4">
        <v>2.80619448896537E-2</v>
      </c>
      <c r="AU147" s="4">
        <v>8.2531137874602506E-2</v>
      </c>
      <c r="AV147" s="4">
        <v>7.4783818533318905E-2</v>
      </c>
      <c r="AW147" s="4">
        <v>8.96026277147111E-2</v>
      </c>
      <c r="AX147" s="4">
        <v>0.112744268335652</v>
      </c>
      <c r="AY147" s="4">
        <v>0.10026967878052</v>
      </c>
      <c r="AZ147" s="4">
        <v>0.12413064979388901</v>
      </c>
      <c r="BA147" s="4">
        <v>0.106574288435032</v>
      </c>
      <c r="BB147" s="4">
        <v>0.11003391921163801</v>
      </c>
      <c r="BC147" s="4">
        <v>0.103416455020715</v>
      </c>
      <c r="BD147" s="4">
        <v>8.0859049772562502E-2</v>
      </c>
      <c r="BE147" s="4">
        <v>9.35041312307867E-2</v>
      </c>
      <c r="BF147" s="4">
        <v>6.9317049098512107E-2</v>
      </c>
      <c r="BG147" s="4">
        <v>6.0054882510469199E-2</v>
      </c>
      <c r="BH147" s="4">
        <v>5.5213810679209302E-2</v>
      </c>
      <c r="BI147" s="4">
        <v>6.4473648377982695E-2</v>
      </c>
      <c r="BJ147" s="4">
        <v>4.9826384306204501E-2</v>
      </c>
      <c r="BK147" s="4">
        <v>3.3424849172512698E-2</v>
      </c>
      <c r="BL147" s="4">
        <v>6.4797148250584496E-2</v>
      </c>
      <c r="BM147" s="4">
        <v>3.0794451599679001E-2</v>
      </c>
      <c r="BN147" s="4">
        <v>3.4422563341237E-2</v>
      </c>
      <c r="BO147" s="4">
        <v>2.7482834485551499E-2</v>
      </c>
      <c r="BP147" s="4">
        <v>7.5743718835856094E-2</v>
      </c>
      <c r="BQ147" s="4">
        <v>7.0824661787096205E-2</v>
      </c>
      <c r="BR147" s="4">
        <v>8.0233666959958705E-2</v>
      </c>
      <c r="BS147" s="4">
        <v>8.3130066099994598E-2</v>
      </c>
      <c r="BT147" s="4">
        <v>0.113052541991932</v>
      </c>
      <c r="BU147" s="4">
        <v>5.5817846874283199E-2</v>
      </c>
      <c r="BV147" s="4">
        <v>8.5448047998046506E-2</v>
      </c>
      <c r="BW147" s="4">
        <v>9.9384800650627103E-2</v>
      </c>
      <c r="BX147" s="4">
        <v>7.2727053748892198E-2</v>
      </c>
      <c r="BY147" s="4">
        <v>8.1634291276270907E-2</v>
      </c>
      <c r="BZ147" s="4">
        <v>6.0149018503924297E-2</v>
      </c>
      <c r="CA147" s="4">
        <v>0.10124531819134799</v>
      </c>
      <c r="CB147" s="4">
        <v>5.1061979845914901E-2</v>
      </c>
      <c r="CC147" s="4">
        <v>5.59350319971363E-2</v>
      </c>
      <c r="CD147" s="4">
        <v>4.6614023429034798E-2</v>
      </c>
      <c r="CE147" s="4">
        <v>2.4379076828953E-2</v>
      </c>
      <c r="CF147" s="4">
        <v>1.7707934126012501E-2</v>
      </c>
      <c r="CG147" s="4">
        <v>3.0468269202162002E-2</v>
      </c>
      <c r="CH147" s="4">
        <v>1.8320292689300299E-2</v>
      </c>
      <c r="CI147" s="4">
        <v>2.8379380228138799E-2</v>
      </c>
      <c r="CJ147" s="4">
        <v>9.1386993925569107E-3</v>
      </c>
      <c r="CK147" s="4">
        <v>3.4130057245647001E-2</v>
      </c>
      <c r="CL147" s="4">
        <v>2.6832674568497101E-2</v>
      </c>
      <c r="CM147" s="4">
        <v>4.07908601876232E-2</v>
      </c>
      <c r="CN147" s="4">
        <v>1.0207145039578E-2</v>
      </c>
      <c r="CO147" s="4">
        <v>1.0574402799145E-2</v>
      </c>
      <c r="CP147" s="4">
        <v>9.8719246360972797E-3</v>
      </c>
      <c r="CQ147" s="4">
        <v>1.2560861306237099E-2</v>
      </c>
      <c r="CR147" s="4">
        <v>1.55067823982683E-2</v>
      </c>
      <c r="CS147" s="4">
        <v>9.8719246360972797E-3</v>
      </c>
      <c r="CT147" s="1">
        <f>Table1[[#This Row],[Female %]]*Table1[[#This Row],[NWS_pin]]</f>
        <v>126558.34490600371</v>
      </c>
      <c r="CU147" s="1">
        <f>Table1[[#This Row],[Male %]]*Table1[[#This Row],[NWS_pin]]</f>
        <v>138653.65509399626</v>
      </c>
      <c r="CV147" s="1">
        <f>Table1[[#This Row],[Female% (0-2)22]]+Table1[[#This Row],[Male%(0-2)3]]</f>
        <v>21888.248137999071</v>
      </c>
      <c r="CW147" s="1">
        <f>$CT147*Table1[[#This Row],[Female% (0-2)]]</f>
        <v>9464.5162993277663</v>
      </c>
      <c r="CX147" s="1">
        <f>$CU147*Table1[[#This Row],[Male%(0-2)]]</f>
        <v>12423.731838671303</v>
      </c>
      <c r="CY147" s="1">
        <f>Table1[[#This Row],[Female%  (3-5)5]]+Table1[[#This Row],[Male% (3-5)6]]</f>
        <v>43803.890351854789</v>
      </c>
      <c r="CZ147" s="1">
        <f>$AF147*Table1[[#This Row],[Female%  (3-5)]]</f>
        <v>26592.72204873927</v>
      </c>
      <c r="DA147" s="1">
        <f>$CU147*Table1[[#This Row],[Male% (3-5)]]</f>
        <v>17211.168303115523</v>
      </c>
      <c r="DB147" s="1">
        <f>Table1[[#This Row],[Female% (6-8)8]]+Table1[[#This Row],[Male%(6-8)9]]</f>
        <v>28264.780184431824</v>
      </c>
      <c r="DC147" s="1">
        <f>$CT147*Table1[[#This Row],[Female% (6-8)]]</f>
        <v>13925.71069894583</v>
      </c>
      <c r="DD147" s="1">
        <f>$CU147*Table1[[#This Row],[Male%(6-8)]]</f>
        <v>14339.069485485996</v>
      </c>
      <c r="DE147" s="1">
        <f>Table1[[#This Row],[Female% (9 - 11)11]]+Table1[[#This Row],[Male% (9 - 11)12]]</f>
        <v>21444.790308280841</v>
      </c>
      <c r="DF147" s="1">
        <f>$CT147*Table1[[#This Row],[Female% (9 - 11)]]</f>
        <v>11833.728090442137</v>
      </c>
      <c r="DG147" s="1">
        <f>$CU147*Table1[[#This Row],[Male% (9 - 11)]]</f>
        <v>9611.0622178387021</v>
      </c>
      <c r="DH147" s="1">
        <f>Table1[[#This Row],[Female% (12-14)14]]+Table1[[#This Row],[Male%(12-14)15]]</f>
        <v>15927.275500366566</v>
      </c>
      <c r="DI147" s="1">
        <f>$CT147*Table1[[#This Row],[Female% (12-14)]]</f>
        <v>6987.7684955141622</v>
      </c>
      <c r="DJ147" s="1">
        <f>$CU147*Table1[[#This Row],[Male%(12-14)]]</f>
        <v>8939.5070048524049</v>
      </c>
      <c r="DK147" s="1">
        <f>Table1[[#This Row],[Female% (15-17)17]]+Table1[[#This Row],[Male%(15-17)18]]</f>
        <v>13214.5550346171</v>
      </c>
      <c r="DL147" s="1">
        <f>$CT147*Table1[[#This Row],[Female% (15-17)]]</f>
        <v>4230.1935900060143</v>
      </c>
      <c r="DM147" s="1">
        <f>$CU147*Table1[[#This Row],[Male%(15-17)]]</f>
        <v>8984.361444611086</v>
      </c>
      <c r="DN147" s="1">
        <f>$AF147*Table1[[#This Row],[Total% (18-19)]]</f>
        <v>8167.0580976540678</v>
      </c>
      <c r="DO147" s="1">
        <f>$CT147*Table1[[#This Row],[Female% (18-19)]]</f>
        <v>4356.4626438890318</v>
      </c>
      <c r="DP147" s="1">
        <f>$CU147*Table1[[#This Row],[Male%(18-19)]]</f>
        <v>3810.5954537650437</v>
      </c>
      <c r="DQ147" s="1">
        <f>$AF147*Table1[[#This Row],[Total% (20-24)]]</f>
        <v>20088.143159895066</v>
      </c>
      <c r="DR147" s="1">
        <f>$CT147*Table1[[#This Row],[Female% (20-24)]]</f>
        <v>8963.451974302383</v>
      </c>
      <c r="DS147" s="1">
        <f>$CU147*Table1[[#This Row],[Male% (20-24)]]</f>
        <v>11124.691185592677</v>
      </c>
      <c r="DT147" s="1">
        <f>$AF147*Table1[[#This Row],[Total% (25-29)]]</f>
        <v>22047.091090511767</v>
      </c>
      <c r="DU147" s="1">
        <f>$CT147*Table1[[#This Row],[Female% (25-29)]]</f>
        <v>14307.742601915397</v>
      </c>
      <c r="DV147" s="1">
        <f>$CU147*Table1[[#This Row],[Male% (25-29)]]</f>
        <v>7739.3484885963599</v>
      </c>
      <c r="DW147" s="1">
        <f>$AF147*Table1[[#This Row],[Total%   (30-34)]]</f>
        <v>22661.84770565791</v>
      </c>
      <c r="DX147" s="1">
        <f>$CT147*Table1[[#This Row],[Female%   (30-34)]]</f>
        <v>12577.975879156487</v>
      </c>
      <c r="DY147" s="1">
        <f>$CU147*Table1[[#This Row],[Male%  (30-34)]]</f>
        <v>10083.871826501427</v>
      </c>
      <c r="DZ147" s="1">
        <f>$AF147*Table1[[#This Row],[Total% (35-39)]]</f>
        <v>21650.393657962359</v>
      </c>
      <c r="EA147" s="1">
        <f>$CT147*Table1[[#This Row],[Female% (35-39)]]</f>
        <v>7612.3602295772507</v>
      </c>
      <c r="EB147" s="1">
        <f>$CU147*Table1[[#This Row],[Male% (35-39)]]</f>
        <v>14038.03342838507</v>
      </c>
      <c r="EC147" s="1">
        <f>$AF147*Table1[[#This Row],[Total% (40-44)]]</f>
        <v>13542.249798894783</v>
      </c>
      <c r="ED147" s="1">
        <f>$CT147*Table1[[#This Row],[Female% (40-44)]]</f>
        <v>7079.045071821929</v>
      </c>
      <c r="EE147" s="1">
        <f>$CU147*Table1[[#This Row],[Male%(55-59)]]</f>
        <v>6463.2047270728517</v>
      </c>
      <c r="EF147" s="1">
        <f>$AF147*Table1[[#This Row],[Total% (45-49)]]</f>
        <v>6465.6237239602833</v>
      </c>
      <c r="EG147" s="1">
        <f>$CT147*Table1[[#This Row],[Female% (45-49)]]</f>
        <v>2241.0868346926836</v>
      </c>
      <c r="EH147" s="1">
        <f>$CU147*Table1[[#This Row],[Male% (45-49)]]</f>
        <v>4224.5368892675988</v>
      </c>
      <c r="EI147" s="1">
        <f>$AF147*Table1[[#This Row],[Total% (50-54)]]</f>
        <v>4858.7614647147111</v>
      </c>
      <c r="EJ147" s="1">
        <f>$CT147*Table1[[#This Row],[Female%(50-54)]]</f>
        <v>3591.6473911314124</v>
      </c>
      <c r="EK147" s="1">
        <f>$CU147*Table1[[#This Row],[Male% (50-54)]]</f>
        <v>1267.1140735832992</v>
      </c>
      <c r="EL147" s="1">
        <f>$AF147*Table1[[#This Row],[Total% (55-59)]]</f>
        <v>9051.7007422325332</v>
      </c>
      <c r="EM147" s="1">
        <f>$CT147*Table1[[#This Row],[Female% (55-59)]]</f>
        <v>3395.8988827904104</v>
      </c>
      <c r="EN147" s="1">
        <f>$CU147*Table1[[#This Row],[Male% (55-59)]]</f>
        <v>5655.801859442131</v>
      </c>
      <c r="EO147" s="1">
        <f>$AF147*Table1[[#This Row],[Total% (60-64)]]</f>
        <v>2707.0573502365605</v>
      </c>
      <c r="EP147" s="1">
        <f>$CT147*Table1[[#This Row],[Female%(60-64)]]</f>
        <v>1338.2789166292041</v>
      </c>
      <c r="EQ147" s="1">
        <f>$CU147*Table1[[#This Row],[Male%(60-64)]]</f>
        <v>1368.7784336073569</v>
      </c>
      <c r="ER147" s="1">
        <f>$AF147*Table1[[#This Row],[Total% (&gt;=65)]]</f>
        <v>3331.2911487497536</v>
      </c>
      <c r="ES147" s="1">
        <f>$CT147*Table1[[#This Row],[Female%(&gt;=65)]]</f>
        <v>1962.5127151423869</v>
      </c>
      <c r="ET147" s="1">
        <f>$CU147*Table1[[#This Row],[Male% (&gt;=65)]]</f>
        <v>1368.7784336073569</v>
      </c>
    </row>
    <row r="148" spans="1:150" hidden="1" x14ac:dyDescent="0.35">
      <c r="A148" t="s">
        <v>192</v>
      </c>
      <c r="B148" t="s">
        <v>193</v>
      </c>
      <c r="C148" t="s">
        <v>192</v>
      </c>
      <c r="D148" t="s">
        <v>247</v>
      </c>
      <c r="E148" t="s">
        <v>595</v>
      </c>
      <c r="F148" t="s">
        <v>596</v>
      </c>
      <c r="H148">
        <v>3</v>
      </c>
      <c r="I148" s="1">
        <v>0</v>
      </c>
      <c r="J148" s="1">
        <v>2137</v>
      </c>
      <c r="K148" s="1">
        <v>713</v>
      </c>
      <c r="L148" s="1">
        <v>0</v>
      </c>
      <c r="M148" s="1">
        <v>0</v>
      </c>
      <c r="N148" s="1">
        <v>713</v>
      </c>
      <c r="O148" s="3">
        <v>1</v>
      </c>
      <c r="P148" s="3">
        <v>0</v>
      </c>
      <c r="Q148" s="3">
        <v>0</v>
      </c>
      <c r="R148" s="3">
        <v>0</v>
      </c>
      <c r="S148" s="3">
        <v>0</v>
      </c>
      <c r="T148" s="1">
        <v>2850</v>
      </c>
      <c r="U148" s="1">
        <v>0</v>
      </c>
      <c r="V148" s="10">
        <f>Table1[[#This Row],[Pop NW+RATAA]]*Table1[[#This Row],[Perc_pop_Northern_Aleppo]]</f>
        <v>0</v>
      </c>
      <c r="W148" s="10">
        <f>Table1[[#This Row],[Pop NW+RATAA]]*Table1[[#This Row],[Perc_pop_Afrin District]]</f>
        <v>0</v>
      </c>
      <c r="X148" s="10">
        <f>Table1[[#This Row],[Pop NW+RATAA]]*Table1[[#This Row],[Perc_pop_Euphrates Shiled]]</f>
        <v>0</v>
      </c>
      <c r="Y148" s="10">
        <f>Table1[[#This Row],[Pop NW+RATAA]]*Table1[[#This Row],[Perc_Pop_Idleb_NSAG]]</f>
        <v>0</v>
      </c>
      <c r="Z148" s="3">
        <v>0</v>
      </c>
      <c r="AA148" s="3">
        <v>0</v>
      </c>
      <c r="AB148" s="3">
        <v>0</v>
      </c>
      <c r="AC148" s="3">
        <v>0</v>
      </c>
      <c r="AD148" s="1">
        <v>713</v>
      </c>
      <c r="AE148" s="1">
        <v>0</v>
      </c>
      <c r="AF148" s="1">
        <v>0</v>
      </c>
      <c r="AG148" s="1">
        <v>0</v>
      </c>
      <c r="AH148" s="1">
        <v>0</v>
      </c>
      <c r="AI148" s="1">
        <f>Table1[[#This Row],[NWS_pin]]*Table1[[#This Row],[Perc_pop_Northern_Aleppo]]</f>
        <v>0</v>
      </c>
      <c r="AJ148" s="1">
        <f>Table1[[#This Row],[NWS_pin]]*Table1[[#This Row],[Perc_pop_Afrin District]]</f>
        <v>0</v>
      </c>
      <c r="AK148" s="1">
        <f>Table1[[#This Row],[NWS_pin]]*Table1[[#This Row],[Perc_pop_Euphrates Shiled]]</f>
        <v>0</v>
      </c>
      <c r="AL148" s="1">
        <f>Table1[[#This Row],[NWS_pin]]*Table1[[#This Row],[Perc_Pop_Idleb_NSAG]]</f>
        <v>0</v>
      </c>
      <c r="AM148" s="4">
        <v>0.48503914412326898</v>
      </c>
      <c r="AN148" s="4">
        <v>0.51496085587673102</v>
      </c>
      <c r="AO148" s="4">
        <v>9.5570916538658499E-2</v>
      </c>
      <c r="AP148" s="4">
        <v>0.480447594389597</v>
      </c>
      <c r="AQ148" s="4">
        <v>0.48020196401714499</v>
      </c>
      <c r="AR148" s="4">
        <v>1.7474805789582E-2</v>
      </c>
      <c r="AS148" s="4">
        <v>9.1903373228797002E-3</v>
      </c>
      <c r="AT148" s="4">
        <v>1.26852984807961E-2</v>
      </c>
      <c r="AU148" s="4">
        <v>3.3605587352686803E-2</v>
      </c>
      <c r="AV148" s="4">
        <v>4.5453949320961903E-2</v>
      </c>
      <c r="AW148" s="4">
        <v>2.24456724139666E-2</v>
      </c>
      <c r="AX148" s="4">
        <v>5.6539574215038399E-2</v>
      </c>
      <c r="AY148" s="4">
        <v>4.83149489416001E-2</v>
      </c>
      <c r="AZ148" s="4">
        <v>6.4286309054856897E-2</v>
      </c>
      <c r="BA148" s="4">
        <v>0.14511774572069899</v>
      </c>
      <c r="BB148" s="4">
        <v>0.17328185800795701</v>
      </c>
      <c r="BC148" s="4">
        <v>0.11859010432250799</v>
      </c>
      <c r="BD148" s="4">
        <v>6.8098216892063301E-2</v>
      </c>
      <c r="BE148" s="4">
        <v>6.2294502266212901E-2</v>
      </c>
      <c r="BF148" s="4">
        <v>7.3564707680116706E-2</v>
      </c>
      <c r="BG148" s="4">
        <v>0.103160532489186</v>
      </c>
      <c r="BH148" s="4">
        <v>6.6330017520586801E-2</v>
      </c>
      <c r="BI148" s="4">
        <v>0.13785101673497399</v>
      </c>
      <c r="BJ148" s="4">
        <v>5.5289940281916902E-2</v>
      </c>
      <c r="BK148" s="4">
        <v>5.1553853096169902E-2</v>
      </c>
      <c r="BL148" s="4">
        <v>5.8808942765822901E-2</v>
      </c>
      <c r="BM148" s="4">
        <v>3.02152720627889E-2</v>
      </c>
      <c r="BN148" s="4">
        <v>2.38303296075573E-2</v>
      </c>
      <c r="BO148" s="4">
        <v>3.6229218537398598E-2</v>
      </c>
      <c r="BP148" s="4">
        <v>4.3161611547145297E-2</v>
      </c>
      <c r="BQ148" s="4">
        <v>3.25065902567662E-2</v>
      </c>
      <c r="BR148" s="4">
        <v>5.31975246623312E-2</v>
      </c>
      <c r="BS148" s="4">
        <v>7.1736856873799507E-2</v>
      </c>
      <c r="BT148" s="4">
        <v>9.8551965030715699E-2</v>
      </c>
      <c r="BU148" s="4">
        <v>4.6479835953520197E-2</v>
      </c>
      <c r="BV148" s="4">
        <v>6.5709210843448704E-2</v>
      </c>
      <c r="BW148" s="4">
        <v>7.0458794562254901E-2</v>
      </c>
      <c r="BX148" s="4">
        <v>6.1235600867813898E-2</v>
      </c>
      <c r="BY148" s="4">
        <v>7.9656859569088301E-2</v>
      </c>
      <c r="BZ148" s="4">
        <v>9.5975608156714798E-2</v>
      </c>
      <c r="CA148" s="4">
        <v>6.4286309054856897E-2</v>
      </c>
      <c r="CB148" s="4">
        <v>0.102843176360243</v>
      </c>
      <c r="CC148" s="4">
        <v>0.10892296722090999</v>
      </c>
      <c r="CD148" s="4">
        <v>9.7116650699402798E-2</v>
      </c>
      <c r="CE148" s="4">
        <v>5.8859548826548001E-2</v>
      </c>
      <c r="CF148" s="4">
        <v>5.53047256039065E-2</v>
      </c>
      <c r="CG148" s="4">
        <v>6.2207819658675702E-2</v>
      </c>
      <c r="CH148" s="4">
        <v>4.94415875062994E-2</v>
      </c>
      <c r="CI148" s="4">
        <v>4.9347143202017198E-2</v>
      </c>
      <c r="CJ148" s="4">
        <v>4.9530544140563203E-2</v>
      </c>
      <c r="CK148" s="4">
        <v>2.60069460233062E-2</v>
      </c>
      <c r="CL148" s="4">
        <v>1.7872747205668001E-2</v>
      </c>
      <c r="CM148" s="4">
        <v>3.366850862095E-2</v>
      </c>
      <c r="CN148" s="4">
        <v>8.1683273871271198E-3</v>
      </c>
      <c r="CO148" s="4">
        <v>0</v>
      </c>
      <c r="CP148" s="4">
        <v>1.58620355196132E-2</v>
      </c>
      <c r="CQ148" s="4">
        <v>2.3890060486146201E-3</v>
      </c>
      <c r="CR148" s="4">
        <v>0</v>
      </c>
      <c r="CS148" s="4">
        <v>4.6391993126298804E-3</v>
      </c>
      <c r="CT148" s="1">
        <f>Table1[[#This Row],[Female %]]*Table1[[#This Row],[NWS_pin]]</f>
        <v>0</v>
      </c>
      <c r="CU148" s="1">
        <f>Table1[[#This Row],[Male %]]*Table1[[#This Row],[NWS_pin]]</f>
        <v>0</v>
      </c>
      <c r="CV148" s="1">
        <f>Table1[[#This Row],[Female% (0-2)22]]+Table1[[#This Row],[Male%(0-2)3]]</f>
        <v>0</v>
      </c>
      <c r="CW148" s="1">
        <f>$CT148*Table1[[#This Row],[Female% (0-2)]]</f>
        <v>0</v>
      </c>
      <c r="CX148" s="1">
        <f>$CU148*Table1[[#This Row],[Male%(0-2)]]</f>
        <v>0</v>
      </c>
      <c r="CY148" s="1">
        <f>Table1[[#This Row],[Female%  (3-5)5]]+Table1[[#This Row],[Male% (3-5)6]]</f>
        <v>0</v>
      </c>
      <c r="CZ148" s="1">
        <f>$AF148*Table1[[#This Row],[Female%  (3-5)]]</f>
        <v>0</v>
      </c>
      <c r="DA148" s="1">
        <f>$CU148*Table1[[#This Row],[Male% (3-5)]]</f>
        <v>0</v>
      </c>
      <c r="DB148" s="1">
        <f>Table1[[#This Row],[Female% (6-8)8]]+Table1[[#This Row],[Male%(6-8)9]]</f>
        <v>0</v>
      </c>
      <c r="DC148" s="1">
        <f>$CT148*Table1[[#This Row],[Female% (6-8)]]</f>
        <v>0</v>
      </c>
      <c r="DD148" s="1">
        <f>$CU148*Table1[[#This Row],[Male%(6-8)]]</f>
        <v>0</v>
      </c>
      <c r="DE148" s="1">
        <f>Table1[[#This Row],[Female% (9 - 11)11]]+Table1[[#This Row],[Male% (9 - 11)12]]</f>
        <v>0</v>
      </c>
      <c r="DF148" s="1">
        <f>$CT148*Table1[[#This Row],[Female% (9 - 11)]]</f>
        <v>0</v>
      </c>
      <c r="DG148" s="1">
        <f>$CU148*Table1[[#This Row],[Male% (9 - 11)]]</f>
        <v>0</v>
      </c>
      <c r="DH148" s="1">
        <f>Table1[[#This Row],[Female% (12-14)14]]+Table1[[#This Row],[Male%(12-14)15]]</f>
        <v>0</v>
      </c>
      <c r="DI148" s="1">
        <f>$CT148*Table1[[#This Row],[Female% (12-14)]]</f>
        <v>0</v>
      </c>
      <c r="DJ148" s="1">
        <f>$CU148*Table1[[#This Row],[Male%(12-14)]]</f>
        <v>0</v>
      </c>
      <c r="DK148" s="1">
        <f>Table1[[#This Row],[Female% (15-17)17]]+Table1[[#This Row],[Male%(15-17)18]]</f>
        <v>0</v>
      </c>
      <c r="DL148" s="1">
        <f>$CT148*Table1[[#This Row],[Female% (15-17)]]</f>
        <v>0</v>
      </c>
      <c r="DM148" s="1">
        <f>$CU148*Table1[[#This Row],[Male%(15-17)]]</f>
        <v>0</v>
      </c>
      <c r="DN148" s="1">
        <f>$AF148*Table1[[#This Row],[Total% (18-19)]]</f>
        <v>0</v>
      </c>
      <c r="DO148" s="1">
        <f>$CT148*Table1[[#This Row],[Female% (18-19)]]</f>
        <v>0</v>
      </c>
      <c r="DP148" s="1">
        <f>$CU148*Table1[[#This Row],[Male%(18-19)]]</f>
        <v>0</v>
      </c>
      <c r="DQ148" s="1">
        <f>$AF148*Table1[[#This Row],[Total% (20-24)]]</f>
        <v>0</v>
      </c>
      <c r="DR148" s="1">
        <f>$CT148*Table1[[#This Row],[Female% (20-24)]]</f>
        <v>0</v>
      </c>
      <c r="DS148" s="1">
        <f>$CU148*Table1[[#This Row],[Male% (20-24)]]</f>
        <v>0</v>
      </c>
      <c r="DT148" s="1">
        <f>$AF148*Table1[[#This Row],[Total% (25-29)]]</f>
        <v>0</v>
      </c>
      <c r="DU148" s="1">
        <f>$CT148*Table1[[#This Row],[Female% (25-29)]]</f>
        <v>0</v>
      </c>
      <c r="DV148" s="1">
        <f>$CU148*Table1[[#This Row],[Male% (25-29)]]</f>
        <v>0</v>
      </c>
      <c r="DW148" s="1">
        <f>$AF148*Table1[[#This Row],[Total%   (30-34)]]</f>
        <v>0</v>
      </c>
      <c r="DX148" s="1">
        <f>$CT148*Table1[[#This Row],[Female%   (30-34)]]</f>
        <v>0</v>
      </c>
      <c r="DY148" s="1">
        <f>$CU148*Table1[[#This Row],[Male%  (30-34)]]</f>
        <v>0</v>
      </c>
      <c r="DZ148" s="1">
        <f>$AF148*Table1[[#This Row],[Total% (35-39)]]</f>
        <v>0</v>
      </c>
      <c r="EA148" s="1">
        <f>$CT148*Table1[[#This Row],[Female% (35-39)]]</f>
        <v>0</v>
      </c>
      <c r="EB148" s="1">
        <f>$CU148*Table1[[#This Row],[Male% (35-39)]]</f>
        <v>0</v>
      </c>
      <c r="EC148" s="1">
        <f>$AF148*Table1[[#This Row],[Total% (40-44)]]</f>
        <v>0</v>
      </c>
      <c r="ED148" s="1">
        <f>$CT148*Table1[[#This Row],[Female% (40-44)]]</f>
        <v>0</v>
      </c>
      <c r="EE148" s="1">
        <f>$CU148*Table1[[#This Row],[Male%(55-59)]]</f>
        <v>0</v>
      </c>
      <c r="EF148" s="1">
        <f>$AF148*Table1[[#This Row],[Total% (45-49)]]</f>
        <v>0</v>
      </c>
      <c r="EG148" s="1">
        <f>$CT148*Table1[[#This Row],[Female% (45-49)]]</f>
        <v>0</v>
      </c>
      <c r="EH148" s="1">
        <f>$CU148*Table1[[#This Row],[Male% (45-49)]]</f>
        <v>0</v>
      </c>
      <c r="EI148" s="1">
        <f>$AF148*Table1[[#This Row],[Total% (50-54)]]</f>
        <v>0</v>
      </c>
      <c r="EJ148" s="1">
        <f>$CT148*Table1[[#This Row],[Female%(50-54)]]</f>
        <v>0</v>
      </c>
      <c r="EK148" s="1">
        <f>$CU148*Table1[[#This Row],[Male% (50-54)]]</f>
        <v>0</v>
      </c>
      <c r="EL148" s="1">
        <f>$AF148*Table1[[#This Row],[Total% (55-59)]]</f>
        <v>0</v>
      </c>
      <c r="EM148" s="1">
        <f>$CT148*Table1[[#This Row],[Female% (55-59)]]</f>
        <v>0</v>
      </c>
      <c r="EN148" s="1">
        <f>$CU148*Table1[[#This Row],[Male% (55-59)]]</f>
        <v>0</v>
      </c>
      <c r="EO148" s="1">
        <f>$AF148*Table1[[#This Row],[Total% (60-64)]]</f>
        <v>0</v>
      </c>
      <c r="EP148" s="1">
        <f>$CT148*Table1[[#This Row],[Female%(60-64)]]</f>
        <v>0</v>
      </c>
      <c r="EQ148" s="1">
        <f>$CU148*Table1[[#This Row],[Male%(60-64)]]</f>
        <v>0</v>
      </c>
      <c r="ER148" s="1">
        <f>$AF148*Table1[[#This Row],[Total% (&gt;=65)]]</f>
        <v>0</v>
      </c>
      <c r="ES148" s="1">
        <f>$CT148*Table1[[#This Row],[Female%(&gt;=65)]]</f>
        <v>0</v>
      </c>
      <c r="ET148" s="1">
        <f>$CU148*Table1[[#This Row],[Male% (&gt;=65)]]</f>
        <v>0</v>
      </c>
    </row>
    <row r="149" spans="1:150" x14ac:dyDescent="0.35">
      <c r="A149" t="s">
        <v>192</v>
      </c>
      <c r="B149" t="s">
        <v>193</v>
      </c>
      <c r="C149" t="s">
        <v>192</v>
      </c>
      <c r="D149" t="s">
        <v>247</v>
      </c>
      <c r="E149" t="s">
        <v>430</v>
      </c>
      <c r="F149" t="s">
        <v>431</v>
      </c>
      <c r="G149" t="s">
        <v>1143</v>
      </c>
      <c r="H149">
        <v>4</v>
      </c>
      <c r="I149" s="1">
        <v>0</v>
      </c>
      <c r="J149" s="1">
        <v>1171</v>
      </c>
      <c r="K149" s="1">
        <v>42735</v>
      </c>
      <c r="L149" s="1">
        <v>14635</v>
      </c>
      <c r="M149" s="1">
        <v>0</v>
      </c>
      <c r="N149" s="1">
        <v>57370</v>
      </c>
      <c r="O149" s="3">
        <v>0</v>
      </c>
      <c r="P149" s="3">
        <v>0</v>
      </c>
      <c r="Q149" s="3">
        <v>1</v>
      </c>
      <c r="R149" s="3">
        <v>0</v>
      </c>
      <c r="S149" s="3">
        <v>0</v>
      </c>
      <c r="T149" s="1">
        <v>58541</v>
      </c>
      <c r="U149" s="1">
        <v>58540</v>
      </c>
      <c r="V149" s="10">
        <f>Table1[[#This Row],[Pop NW+RATAA]]*Table1[[#This Row],[Perc_pop_Northern_Aleppo]]</f>
        <v>0</v>
      </c>
      <c r="W149" s="10">
        <f>Table1[[#This Row],[Pop NW+RATAA]]*Table1[[#This Row],[Perc_pop_Afrin District]]</f>
        <v>0</v>
      </c>
      <c r="X149" s="10">
        <f>Table1[[#This Row],[Pop NW+RATAA]]*Table1[[#This Row],[Perc_pop_Euphrates Shiled]]</f>
        <v>0</v>
      </c>
      <c r="Y149" s="10">
        <f>Table1[[#This Row],[Pop NW+RATAA]]*Table1[[#This Row],[Perc_Pop_Idleb_NSAG]]</f>
        <v>58540</v>
      </c>
      <c r="Z149" s="3">
        <v>0</v>
      </c>
      <c r="AA149" s="3">
        <v>0</v>
      </c>
      <c r="AB149" s="3">
        <v>0</v>
      </c>
      <c r="AC149" s="3">
        <v>1</v>
      </c>
      <c r="AD149" s="1">
        <v>0</v>
      </c>
      <c r="AE149" s="1">
        <v>0</v>
      </c>
      <c r="AF149" s="1">
        <v>57370</v>
      </c>
      <c r="AG149" s="1">
        <v>0</v>
      </c>
      <c r="AH149" s="1">
        <v>0</v>
      </c>
      <c r="AI149" s="1">
        <f>Table1[[#This Row],[NWS_pin]]*Table1[[#This Row],[Perc_pop_Northern_Aleppo]]</f>
        <v>0</v>
      </c>
      <c r="AJ149" s="1">
        <f>Table1[[#This Row],[NWS_pin]]*Table1[[#This Row],[Perc_pop_Afrin District]]</f>
        <v>0</v>
      </c>
      <c r="AK149" s="1">
        <f>Table1[[#This Row],[NWS_pin]]*Table1[[#This Row],[Perc_pop_Euphrates Shiled]]</f>
        <v>0</v>
      </c>
      <c r="AL149" s="1">
        <f>Table1[[#This Row],[NWS_pin]]*Table1[[#This Row],[Perc_Pop_Idleb_NSAG]]</f>
        <v>57370</v>
      </c>
      <c r="AM149" s="4">
        <v>0.502593317543647</v>
      </c>
      <c r="AN149" s="4">
        <v>0.497406682456353</v>
      </c>
      <c r="AO149" s="4">
        <v>0.181953215069144</v>
      </c>
      <c r="AP149" s="4">
        <v>0.459171340670952</v>
      </c>
      <c r="AQ149" s="4">
        <v>0.49207770880542401</v>
      </c>
      <c r="AR149" s="4">
        <v>3.2599035977024199E-3</v>
      </c>
      <c r="AS149" s="4">
        <v>0</v>
      </c>
      <c r="AT149" s="4">
        <v>4.5491046925921798E-2</v>
      </c>
      <c r="AU149" s="4">
        <v>6.1870564361035503E-2</v>
      </c>
      <c r="AV149" s="4">
        <v>4.7091206521584397E-2</v>
      </c>
      <c r="AW149" s="4">
        <v>7.6804031782527593E-2</v>
      </c>
      <c r="AX149" s="4">
        <v>0.16058612962421501</v>
      </c>
      <c r="AY149" s="4">
        <v>0.15023948522619299</v>
      </c>
      <c r="AZ149" s="4">
        <v>0.17104066213625499</v>
      </c>
      <c r="BA149" s="4">
        <v>9.2183936796777E-2</v>
      </c>
      <c r="BB149" s="4">
        <v>0.110100314519142</v>
      </c>
      <c r="BC149" s="4">
        <v>7.40807386785272E-2</v>
      </c>
      <c r="BD149" s="4">
        <v>0.117232412358902</v>
      </c>
      <c r="BE149" s="4">
        <v>9.6846703652070903E-2</v>
      </c>
      <c r="BF149" s="4">
        <v>0.13783069004758999</v>
      </c>
      <c r="BG149" s="4">
        <v>7.1454173830292206E-2</v>
      </c>
      <c r="BH149" s="4">
        <v>4.84844604821267E-2</v>
      </c>
      <c r="BI149" s="4">
        <v>9.4663400488991495E-2</v>
      </c>
      <c r="BJ149" s="4">
        <v>5.04640543693822E-2</v>
      </c>
      <c r="BK149" s="4">
        <v>7.1735829658548703E-2</v>
      </c>
      <c r="BL149" s="4">
        <v>2.8970470769279801E-2</v>
      </c>
      <c r="BM149" s="4">
        <v>1.4467474211487001E-2</v>
      </c>
      <c r="BN149" s="4">
        <v>9.5571676287391095E-3</v>
      </c>
      <c r="BO149" s="4">
        <v>1.9428982294555901E-2</v>
      </c>
      <c r="BP149" s="4">
        <v>4.39703840779972E-2</v>
      </c>
      <c r="BQ149" s="4">
        <v>5.4093990728669002E-2</v>
      </c>
      <c r="BR149" s="4">
        <v>3.3741215006641803E-2</v>
      </c>
      <c r="BS149" s="4">
        <v>6.3421583738278803E-2</v>
      </c>
      <c r="BT149" s="4">
        <v>8.5496560476998495E-2</v>
      </c>
      <c r="BU149" s="4">
        <v>4.1116423423538703E-2</v>
      </c>
      <c r="BV149" s="4">
        <v>6.9209571703276795E-2</v>
      </c>
      <c r="BW149" s="4">
        <v>8.4717720840814095E-2</v>
      </c>
      <c r="BX149" s="4">
        <v>5.3539713619533802E-2</v>
      </c>
      <c r="BY149" s="4">
        <v>7.4284729967796906E-2</v>
      </c>
      <c r="BZ149" s="4">
        <v>5.5502596597920902E-2</v>
      </c>
      <c r="CA149" s="4">
        <v>9.32627112733488E-2</v>
      </c>
      <c r="CB149" s="4">
        <v>5.1568140735480598E-2</v>
      </c>
      <c r="CC149" s="4">
        <v>4.7785838143695601E-2</v>
      </c>
      <c r="CD149" s="4">
        <v>5.5389882731731302E-2</v>
      </c>
      <c r="CE149" s="4">
        <v>4.5947528069237402E-2</v>
      </c>
      <c r="CF149" s="4">
        <v>6.2521096687841907E-2</v>
      </c>
      <c r="CG149" s="4">
        <v>2.92011409993519E-2</v>
      </c>
      <c r="CH149" s="4">
        <v>3.5679789461094999E-2</v>
      </c>
      <c r="CI149" s="4">
        <v>2.7927045805948899E-2</v>
      </c>
      <c r="CJ149" s="4">
        <v>4.3513373711437799E-2</v>
      </c>
      <c r="CK149" s="4">
        <v>1.64089466647592E-2</v>
      </c>
      <c r="CL149" s="4">
        <v>1.9114335257478202E-2</v>
      </c>
      <c r="CM149" s="4">
        <v>1.3675348030047101E-2</v>
      </c>
      <c r="CN149" s="4">
        <v>9.6067371696974806E-3</v>
      </c>
      <c r="CO149" s="4">
        <v>0</v>
      </c>
      <c r="CP149" s="4">
        <v>1.9313647179519899E-2</v>
      </c>
      <c r="CQ149" s="4">
        <v>2.1643842860289701E-2</v>
      </c>
      <c r="CR149" s="4">
        <v>2.8785647772228098E-2</v>
      </c>
      <c r="CS149" s="4">
        <v>1.4427567827121899E-2</v>
      </c>
      <c r="CT149" s="1">
        <f>Table1[[#This Row],[Female %]]*Table1[[#This Row],[NWS_pin]]</f>
        <v>28833.778627479027</v>
      </c>
      <c r="CU149" s="1">
        <f>Table1[[#This Row],[Male %]]*Table1[[#This Row],[NWS_pin]]</f>
        <v>28536.221372520973</v>
      </c>
      <c r="CV149" s="1">
        <f>Table1[[#This Row],[Female% (0-2)22]]+Table1[[#This Row],[Male%(0-2)3]]</f>
        <v>3549.514277392605</v>
      </c>
      <c r="CW149" s="1">
        <f>$CT149*Table1[[#This Row],[Female% (0-2)]]</f>
        <v>1357.8174241442612</v>
      </c>
      <c r="CX149" s="1">
        <f>$CU149*Table1[[#This Row],[Male%(0-2)]]</f>
        <v>2191.6968532483438</v>
      </c>
      <c r="CY149" s="1">
        <f>Table1[[#This Row],[Female%  (3-5)5]]+Table1[[#This Row],[Male% (3-5)6]]</f>
        <v>13500.09346584943</v>
      </c>
      <c r="CZ149" s="1">
        <f>$AF149*Table1[[#This Row],[Female%  (3-5)]]</f>
        <v>8619.2392674266921</v>
      </c>
      <c r="DA149" s="1">
        <f>$CU149*Table1[[#This Row],[Male% (3-5)]]</f>
        <v>4880.8541984227386</v>
      </c>
      <c r="DB149" s="1">
        <f>Table1[[#This Row],[Female% (6-8)8]]+Table1[[#This Row],[Male%(6-8)9]]</f>
        <v>5288.5924540310843</v>
      </c>
      <c r="DC149" s="1">
        <f>$CT149*Table1[[#This Row],[Female% (6-8)]]</f>
        <v>3174.6080956607552</v>
      </c>
      <c r="DD149" s="1">
        <f>$CU149*Table1[[#This Row],[Male%(6-8)]]</f>
        <v>2113.9843583703291</v>
      </c>
      <c r="DE149" s="1">
        <f>Table1[[#This Row],[Female% (9 - 11)11]]+Table1[[#This Row],[Male% (9 - 11)12]]</f>
        <v>6725.6234970302285</v>
      </c>
      <c r="DF149" s="1">
        <f>$CT149*Table1[[#This Row],[Female% (9 - 11)]]</f>
        <v>2792.4564139048771</v>
      </c>
      <c r="DG149" s="1">
        <f>$CU149*Table1[[#This Row],[Male% (9 - 11)]]</f>
        <v>3933.1670831253514</v>
      </c>
      <c r="DH149" s="1">
        <f>Table1[[#This Row],[Female% (12-14)14]]+Table1[[#This Row],[Male%(12-14)15]]</f>
        <v>4099.3259526438678</v>
      </c>
      <c r="DI149" s="1">
        <f>$CT149*Table1[[#This Row],[Female% (12-14)]]</f>
        <v>1397.9902004143962</v>
      </c>
      <c r="DJ149" s="1">
        <f>$CU149*Table1[[#This Row],[Male%(12-14)]]</f>
        <v>2701.3357522294714</v>
      </c>
      <c r="DK149" s="1">
        <f>Table1[[#This Row],[Female% (15-17)17]]+Table1[[#This Row],[Male%(15-17)18]]</f>
        <v>2895.1227991714541</v>
      </c>
      <c r="DL149" s="1">
        <f>$CT149*Table1[[#This Row],[Female% (15-17)]]</f>
        <v>2068.4150320331378</v>
      </c>
      <c r="DM149" s="1">
        <f>$CU149*Table1[[#This Row],[Male%(15-17)]]</f>
        <v>826.7077671383164</v>
      </c>
      <c r="DN149" s="1">
        <f>$AF149*Table1[[#This Row],[Total% (18-19)]]</f>
        <v>829.99899551300928</v>
      </c>
      <c r="DO149" s="1">
        <f>$CT149*Table1[[#This Row],[Female% (18-19)]]</f>
        <v>275.56925571277213</v>
      </c>
      <c r="DP149" s="1">
        <f>$CU149*Table1[[#This Row],[Male%(18-19)]]</f>
        <v>554.42973980023771</v>
      </c>
      <c r="DQ149" s="1">
        <f>$AF149*Table1[[#This Row],[Total% (20-24)]]</f>
        <v>2522.5809345546995</v>
      </c>
      <c r="DR149" s="1">
        <f>$CT149*Table1[[#This Row],[Female% (20-24)]]</f>
        <v>1559.7341537473449</v>
      </c>
      <c r="DS149" s="1">
        <f>$CU149*Table1[[#This Row],[Male% (20-24)]]</f>
        <v>962.84678080735716</v>
      </c>
      <c r="DT149" s="1">
        <f>$AF149*Table1[[#This Row],[Total% (25-29)]]</f>
        <v>3638.4962590650548</v>
      </c>
      <c r="DU149" s="1">
        <f>$CT149*Table1[[#This Row],[Female% (25-29)]]</f>
        <v>2465.1888982046471</v>
      </c>
      <c r="DV149" s="1">
        <f>$CU149*Table1[[#This Row],[Male% (25-29)]]</f>
        <v>1173.307360860407</v>
      </c>
      <c r="DW149" s="1">
        <f>$AF149*Table1[[#This Row],[Total%   (30-34)]]</f>
        <v>3970.5531286169899</v>
      </c>
      <c r="DX149" s="1">
        <f>$CT149*Table1[[#This Row],[Female%   (30-34)]]</f>
        <v>2442.7320085485999</v>
      </c>
      <c r="DY149" s="1">
        <f>$CU149*Table1[[#This Row],[Male%  (30-34)]]</f>
        <v>1527.8211200683927</v>
      </c>
      <c r="DZ149" s="1">
        <f>$AF149*Table1[[#This Row],[Total% (35-39)]]</f>
        <v>4261.714958252508</v>
      </c>
      <c r="EA149" s="1">
        <f>$CT149*Table1[[#This Row],[Female% (35-39)]]</f>
        <v>1600.3495835547219</v>
      </c>
      <c r="EB149" s="1">
        <f>$CU149*Table1[[#This Row],[Male% (35-39)]]</f>
        <v>2661.3653746977889</v>
      </c>
      <c r="EC149" s="1">
        <f>$AF149*Table1[[#This Row],[Total% (40-44)]]</f>
        <v>2958.4642339945221</v>
      </c>
      <c r="ED149" s="1">
        <f>$CT149*Table1[[#This Row],[Female% (40-44)]]</f>
        <v>1377.8462785638624</v>
      </c>
      <c r="EE149" s="1">
        <f>$CU149*Table1[[#This Row],[Male%(55-59)]]</f>
        <v>1580.6179554306611</v>
      </c>
      <c r="EF149" s="1">
        <f>$AF149*Table1[[#This Row],[Total% (45-49)]]</f>
        <v>2636.0096853321497</v>
      </c>
      <c r="EG149" s="1">
        <f>$CT149*Table1[[#This Row],[Female% (45-49)]]</f>
        <v>1802.7194614444456</v>
      </c>
      <c r="EH149" s="1">
        <f>$CU149*Table1[[#This Row],[Male% (45-49)]]</f>
        <v>833.29022388770409</v>
      </c>
      <c r="EI149" s="1">
        <f>$AF149*Table1[[#This Row],[Total% (50-54)]]</f>
        <v>2046.9495213830201</v>
      </c>
      <c r="EJ149" s="1">
        <f>$CT149*Table1[[#This Row],[Female%(50-54)]]</f>
        <v>805.2422564881972</v>
      </c>
      <c r="EK149" s="1">
        <f>$CU149*Table1[[#This Row],[Male% (50-54)]]</f>
        <v>1241.7072648948235</v>
      </c>
      <c r="EL149" s="1">
        <f>$AF149*Table1[[#This Row],[Total% (55-59)]]</f>
        <v>941.38127015723524</v>
      </c>
      <c r="EM149" s="1">
        <f>$CT149*Table1[[#This Row],[Female% (55-59)]]</f>
        <v>551.13851142554381</v>
      </c>
      <c r="EN149" s="1">
        <f>$CU149*Table1[[#This Row],[Male% (55-59)]]</f>
        <v>390.24275873169267</v>
      </c>
      <c r="EO149" s="1">
        <f>$AF149*Table1[[#This Row],[Total% (60-64)]]</f>
        <v>551.13851142554449</v>
      </c>
      <c r="EP149" s="1">
        <f>$CT149*Table1[[#This Row],[Female%(60-64)]]</f>
        <v>0</v>
      </c>
      <c r="EQ149" s="1">
        <f>$CU149*Table1[[#This Row],[Male%(60-64)]]</f>
        <v>551.13851142554518</v>
      </c>
      <c r="ER149" s="1">
        <f>$AF149*Table1[[#This Row],[Total% (&gt;=65)]]</f>
        <v>1241.7072648948201</v>
      </c>
      <c r="ES149" s="1">
        <f>$CT149*Table1[[#This Row],[Female%(&gt;=65)]]</f>
        <v>829.99899551300985</v>
      </c>
      <c r="ET149" s="1">
        <f>$CU149*Table1[[#This Row],[Male% (&gt;=65)]]</f>
        <v>411.70826938181193</v>
      </c>
    </row>
    <row r="150" spans="1:150" x14ac:dyDescent="0.35">
      <c r="A150" t="s">
        <v>192</v>
      </c>
      <c r="B150" t="s">
        <v>193</v>
      </c>
      <c r="C150" t="s">
        <v>192</v>
      </c>
      <c r="D150" t="s">
        <v>247</v>
      </c>
      <c r="E150" t="s">
        <v>610</v>
      </c>
      <c r="F150" t="s">
        <v>611</v>
      </c>
      <c r="G150" t="s">
        <v>1143</v>
      </c>
      <c r="H150">
        <v>3</v>
      </c>
      <c r="I150" s="1">
        <v>0</v>
      </c>
      <c r="J150" s="1">
        <v>250</v>
      </c>
      <c r="K150" s="1">
        <v>1218</v>
      </c>
      <c r="L150" s="1">
        <v>146</v>
      </c>
      <c r="M150" s="1">
        <v>0</v>
      </c>
      <c r="N150" s="1">
        <v>1364</v>
      </c>
      <c r="O150" s="3">
        <v>0.87</v>
      </c>
      <c r="P150" s="3">
        <v>0</v>
      </c>
      <c r="Q150" s="3">
        <v>0.13</v>
      </c>
      <c r="R150" s="3">
        <v>0</v>
      </c>
      <c r="S150" s="3">
        <v>0</v>
      </c>
      <c r="T150" s="1">
        <v>1614</v>
      </c>
      <c r="U150" s="1">
        <v>1614</v>
      </c>
      <c r="V150" s="10">
        <f>Table1[[#This Row],[Pop NW+RATAA]]*Table1[[#This Row],[Perc_pop_Northern_Aleppo]]</f>
        <v>0</v>
      </c>
      <c r="W150" s="10">
        <f>Table1[[#This Row],[Pop NW+RATAA]]*Table1[[#This Row],[Perc_pop_Afrin District]]</f>
        <v>0</v>
      </c>
      <c r="X150" s="10">
        <f>Table1[[#This Row],[Pop NW+RATAA]]*Table1[[#This Row],[Perc_pop_Euphrates Shiled]]</f>
        <v>0</v>
      </c>
      <c r="Y150" s="10">
        <f>Table1[[#This Row],[Pop NW+RATAA]]*Table1[[#This Row],[Perc_Pop_Idleb_NSAG]]</f>
        <v>1614</v>
      </c>
      <c r="Z150" s="3">
        <v>0</v>
      </c>
      <c r="AA150" s="3">
        <v>0</v>
      </c>
      <c r="AB150" s="3">
        <v>0</v>
      </c>
      <c r="AC150" s="3">
        <v>1</v>
      </c>
      <c r="AD150" s="1">
        <v>1186.68</v>
      </c>
      <c r="AE150" s="1">
        <v>0</v>
      </c>
      <c r="AF150" s="1">
        <v>177.32</v>
      </c>
      <c r="AG150" s="1">
        <v>0</v>
      </c>
      <c r="AH150" s="1">
        <v>0</v>
      </c>
      <c r="AI150" s="1">
        <f>Table1[[#This Row],[NWS_pin]]*Table1[[#This Row],[Perc_pop_Northern_Aleppo]]</f>
        <v>0</v>
      </c>
      <c r="AJ150" s="1">
        <f>Table1[[#This Row],[NWS_pin]]*Table1[[#This Row],[Perc_pop_Afrin District]]</f>
        <v>0</v>
      </c>
      <c r="AK150" s="1">
        <f>Table1[[#This Row],[NWS_pin]]*Table1[[#This Row],[Perc_pop_Euphrates Shiled]]</f>
        <v>0</v>
      </c>
      <c r="AL150" s="1">
        <f>Table1[[#This Row],[NWS_pin]]*Table1[[#This Row],[Perc_Pop_Idleb_NSAG]]</f>
        <v>177.32</v>
      </c>
      <c r="AM150" s="4">
        <v>0.458852867830424</v>
      </c>
      <c r="AN150" s="4">
        <v>0.541147132169576</v>
      </c>
      <c r="AO150" s="4">
        <v>9.5717592592592604E-2</v>
      </c>
      <c r="AP150" s="4">
        <v>0.53459119496855301</v>
      </c>
      <c r="AQ150" s="4">
        <v>0.44339622641509402</v>
      </c>
      <c r="AR150" s="4">
        <v>6.2893081761006301E-3</v>
      </c>
      <c r="AS150" s="4">
        <v>0</v>
      </c>
      <c r="AT150" s="4">
        <v>1.57232704402516E-2</v>
      </c>
      <c r="AU150" s="4">
        <v>3.9900249376558602E-2</v>
      </c>
      <c r="AV150" s="4">
        <v>3.8043478260869602E-2</v>
      </c>
      <c r="AW150" s="4">
        <v>4.1474654377880199E-2</v>
      </c>
      <c r="AX150" s="4">
        <v>0.10224438902743101</v>
      </c>
      <c r="AY150" s="4">
        <v>6.5217391304347797E-2</v>
      </c>
      <c r="AZ150" s="4">
        <v>0.13364055299539199</v>
      </c>
      <c r="BA150" s="4">
        <v>0.11720698254364099</v>
      </c>
      <c r="BB150" s="4">
        <v>0.14673913043478301</v>
      </c>
      <c r="BC150" s="4">
        <v>9.2165898617511496E-2</v>
      </c>
      <c r="BD150" s="4">
        <v>0.15211970074813</v>
      </c>
      <c r="BE150" s="4">
        <v>0.157608695652174</v>
      </c>
      <c r="BF150" s="4">
        <v>0.14746543778801799</v>
      </c>
      <c r="BG150" s="4">
        <v>0.109725685785536</v>
      </c>
      <c r="BH150" s="4">
        <v>8.6956521739130405E-2</v>
      </c>
      <c r="BI150" s="4">
        <v>0.12903225806451599</v>
      </c>
      <c r="BJ150" s="4">
        <v>5.7356608478803001E-2</v>
      </c>
      <c r="BK150" s="4">
        <v>3.8043478260869602E-2</v>
      </c>
      <c r="BL150" s="4">
        <v>7.3732718894009203E-2</v>
      </c>
      <c r="BM150" s="4">
        <v>3.24189526184539E-2</v>
      </c>
      <c r="BN150" s="4">
        <v>3.8043478260869602E-2</v>
      </c>
      <c r="BO150" s="4">
        <v>2.76497695852535E-2</v>
      </c>
      <c r="BP150" s="4">
        <v>3.7406483790523699E-2</v>
      </c>
      <c r="BQ150" s="4">
        <v>3.8043478260869602E-2</v>
      </c>
      <c r="BR150" s="4">
        <v>3.6866359447004601E-2</v>
      </c>
      <c r="BS150" s="4">
        <v>4.9875311720698201E-2</v>
      </c>
      <c r="BT150" s="4">
        <v>6.5217391304347797E-2</v>
      </c>
      <c r="BU150" s="4">
        <v>3.6866359447004601E-2</v>
      </c>
      <c r="BV150" s="4">
        <v>9.9750623441396499E-2</v>
      </c>
      <c r="BW150" s="4">
        <v>0.125</v>
      </c>
      <c r="BX150" s="4">
        <v>7.83410138248848E-2</v>
      </c>
      <c r="BY150" s="4">
        <v>8.7281795511221894E-2</v>
      </c>
      <c r="BZ150" s="4">
        <v>9.2391304347826095E-2</v>
      </c>
      <c r="CA150" s="4">
        <v>8.2949308755760398E-2</v>
      </c>
      <c r="CB150" s="4">
        <v>6.9825436408977606E-2</v>
      </c>
      <c r="CC150" s="4">
        <v>7.0652173913043501E-2</v>
      </c>
      <c r="CD150" s="4">
        <v>6.9124423963133605E-2</v>
      </c>
      <c r="CE150" s="4">
        <v>2.7431421446384E-2</v>
      </c>
      <c r="CF150" s="4">
        <v>2.1739130434782601E-2</v>
      </c>
      <c r="CG150" s="4">
        <v>3.2258064516128997E-2</v>
      </c>
      <c r="CH150" s="4">
        <v>4.9875311720698296E-3</v>
      </c>
      <c r="CI150" s="4">
        <v>5.4347826086956503E-3</v>
      </c>
      <c r="CJ150" s="4">
        <v>4.6082949308755804E-3</v>
      </c>
      <c r="CK150" s="4">
        <v>2.4937655860349101E-3</v>
      </c>
      <c r="CL150" s="4">
        <v>0</v>
      </c>
      <c r="CM150" s="4">
        <v>4.6082949308755804E-3</v>
      </c>
      <c r="CN150" s="4">
        <v>0</v>
      </c>
      <c r="CO150" s="4">
        <v>0</v>
      </c>
      <c r="CP150" s="4">
        <v>0</v>
      </c>
      <c r="CQ150" s="4">
        <v>9.9750623441396506E-3</v>
      </c>
      <c r="CR150" s="4">
        <v>1.0869565217391301E-2</v>
      </c>
      <c r="CS150" s="4">
        <v>9.2165898617511503E-3</v>
      </c>
      <c r="CT150" s="1">
        <f>Table1[[#This Row],[Female %]]*Table1[[#This Row],[NWS_pin]]</f>
        <v>81.363790523690781</v>
      </c>
      <c r="CU150" s="1">
        <f>Table1[[#This Row],[Male %]]*Table1[[#This Row],[NWS_pin]]</f>
        <v>95.956209476309212</v>
      </c>
      <c r="CV150" s="1">
        <f>Table1[[#This Row],[Female% (0-2)22]]+Table1[[#This Row],[Male%(0-2)3]]</f>
        <v>7.0751122194513751</v>
      </c>
      <c r="CW150" s="1">
        <f>$CT150*Table1[[#This Row],[Female% (0-2)]]</f>
        <v>3.0953615960099783</v>
      </c>
      <c r="CX150" s="1">
        <f>$CU150*Table1[[#This Row],[Male%(0-2)]]</f>
        <v>3.9797506234413973</v>
      </c>
      <c r="CY150" s="1">
        <f>Table1[[#This Row],[Female%  (3-5)5]]+Table1[[#This Row],[Male% (3-5)6]]</f>
        <v>24.387988723842589</v>
      </c>
      <c r="CZ150" s="1">
        <f>$AF150*Table1[[#This Row],[Female%  (3-5)]]</f>
        <v>11.564347826086951</v>
      </c>
      <c r="DA150" s="1">
        <f>$CU150*Table1[[#This Row],[Male% (3-5)]]</f>
        <v>12.823640897755636</v>
      </c>
      <c r="DB150" s="1">
        <f>Table1[[#This Row],[Female% (6-8)8]]+Table1[[#This Row],[Male%(6-8)9]]</f>
        <v>20.783142144638433</v>
      </c>
      <c r="DC150" s="1">
        <f>$CT150*Table1[[#This Row],[Female% (6-8)]]</f>
        <v>11.939251870324224</v>
      </c>
      <c r="DD150" s="1">
        <f>$CU150*Table1[[#This Row],[Male%(6-8)]]</f>
        <v>8.8438902743142105</v>
      </c>
      <c r="DE150" s="1">
        <f>Table1[[#This Row],[Female% (9 - 11)11]]+Table1[[#This Row],[Male% (9 - 11)12]]</f>
        <v>26.973865336658321</v>
      </c>
      <c r="DF150" s="1">
        <f>$CT150*Table1[[#This Row],[Female% (9 - 11)]]</f>
        <v>12.82364089775562</v>
      </c>
      <c r="DG150" s="1">
        <f>$CU150*Table1[[#This Row],[Male% (9 - 11)]]</f>
        <v>14.150224438902699</v>
      </c>
      <c r="DH150" s="1">
        <f>Table1[[#This Row],[Female% (12-14)14]]+Table1[[#This Row],[Male%(12-14)15]]</f>
        <v>19.456558603491253</v>
      </c>
      <c r="DI150" s="1">
        <f>$CT150*Table1[[#This Row],[Female% (12-14)]]</f>
        <v>7.0751122194513698</v>
      </c>
      <c r="DJ150" s="1">
        <f>$CU150*Table1[[#This Row],[Male%(12-14)]]</f>
        <v>12.381446384039885</v>
      </c>
      <c r="DK150" s="1">
        <f>Table1[[#This Row],[Female% (15-17)17]]+Table1[[#This Row],[Male%(15-17)18]]</f>
        <v>10.170473815461348</v>
      </c>
      <c r="DL150" s="1">
        <f>$CT150*Table1[[#This Row],[Female% (15-17)]]</f>
        <v>3.0953615960099783</v>
      </c>
      <c r="DM150" s="1">
        <f>$CU150*Table1[[#This Row],[Male%(15-17)]]</f>
        <v>7.0751122194513689</v>
      </c>
      <c r="DN150" s="1">
        <f>$AF150*Table1[[#This Row],[Total% (18-19)]]</f>
        <v>5.7485286783042451</v>
      </c>
      <c r="DO150" s="1">
        <f>$CT150*Table1[[#This Row],[Female% (18-19)]]</f>
        <v>3.0953615960099783</v>
      </c>
      <c r="DP150" s="1">
        <f>$CU150*Table1[[#This Row],[Male%(18-19)]]</f>
        <v>2.6531670822942681</v>
      </c>
      <c r="DQ150" s="1">
        <f>$AF150*Table1[[#This Row],[Total% (20-24)]]</f>
        <v>6.6329177057356619</v>
      </c>
      <c r="DR150" s="1">
        <f>$CT150*Table1[[#This Row],[Female% (20-24)]]</f>
        <v>3.0953615960099783</v>
      </c>
      <c r="DS150" s="1">
        <f>$CU150*Table1[[#This Row],[Male% (20-24)]]</f>
        <v>3.5375561097256845</v>
      </c>
      <c r="DT150" s="1">
        <f>$AF150*Table1[[#This Row],[Total% (25-29)]]</f>
        <v>8.8438902743142052</v>
      </c>
      <c r="DU150" s="1">
        <f>$CT150*Table1[[#This Row],[Female% (25-29)]]</f>
        <v>5.3063341645885265</v>
      </c>
      <c r="DV150" s="1">
        <f>$CU150*Table1[[#This Row],[Male% (25-29)]]</f>
        <v>3.5375561097256845</v>
      </c>
      <c r="DW150" s="1">
        <f>$AF150*Table1[[#This Row],[Total%   (30-34)]]</f>
        <v>17.687780548628428</v>
      </c>
      <c r="DX150" s="1">
        <f>$CT150*Table1[[#This Row],[Female%   (30-34)]]</f>
        <v>10.170473815461348</v>
      </c>
      <c r="DY150" s="1">
        <f>$CU150*Table1[[#This Row],[Male%  (30-34)]]</f>
        <v>7.5173067331670822</v>
      </c>
      <c r="DZ150" s="1">
        <f>$AF150*Table1[[#This Row],[Total% (35-39)]]</f>
        <v>15.476807980049866</v>
      </c>
      <c r="EA150" s="1">
        <f>$CT150*Table1[[#This Row],[Female% (35-39)]]</f>
        <v>7.517306733167084</v>
      </c>
      <c r="EB150" s="1">
        <f>$CU150*Table1[[#This Row],[Male% (35-39)]]</f>
        <v>7.9595012468827946</v>
      </c>
      <c r="EC150" s="1">
        <f>$AF150*Table1[[#This Row],[Total% (40-44)]]</f>
        <v>12.381446384039908</v>
      </c>
      <c r="ED150" s="1">
        <f>$CT150*Table1[[#This Row],[Female% (40-44)]]</f>
        <v>5.7485286783042415</v>
      </c>
      <c r="EE150" s="1">
        <f>$CU150*Table1[[#This Row],[Male%(55-59)]]</f>
        <v>6.6329177057356565</v>
      </c>
      <c r="EF150" s="1">
        <f>$AF150*Table1[[#This Row],[Total% (45-49)]]</f>
        <v>4.8641396508728105</v>
      </c>
      <c r="EG150" s="1">
        <f>$CT150*Table1[[#This Row],[Female% (45-49)]]</f>
        <v>1.7687780548628425</v>
      </c>
      <c r="EH150" s="1">
        <f>$CU150*Table1[[#This Row],[Male% (45-49)]]</f>
        <v>3.0953615960099712</v>
      </c>
      <c r="EI150" s="1">
        <f>$AF150*Table1[[#This Row],[Total% (50-54)]]</f>
        <v>0.88438902743142211</v>
      </c>
      <c r="EJ150" s="1">
        <f>$CT150*Table1[[#This Row],[Female%(50-54)]]</f>
        <v>0.44219451371571061</v>
      </c>
      <c r="EK150" s="1">
        <f>$CU150*Table1[[#This Row],[Male% (50-54)]]</f>
        <v>0.44219451371571106</v>
      </c>
      <c r="EL150" s="1">
        <f>$AF150*Table1[[#This Row],[Total% (55-59)]]</f>
        <v>0.44219451371571022</v>
      </c>
      <c r="EM150" s="1">
        <f>$CT150*Table1[[#This Row],[Female% (55-59)]]</f>
        <v>0</v>
      </c>
      <c r="EN150" s="1">
        <f>$CU150*Table1[[#This Row],[Male% (55-59)]]</f>
        <v>0.44219451371571106</v>
      </c>
      <c r="EO150" s="1">
        <f>$AF150*Table1[[#This Row],[Total% (60-64)]]</f>
        <v>0</v>
      </c>
      <c r="EP150" s="1">
        <f>$CT150*Table1[[#This Row],[Female%(60-64)]]</f>
        <v>0</v>
      </c>
      <c r="EQ150" s="1">
        <f>$CU150*Table1[[#This Row],[Male%(60-64)]]</f>
        <v>0</v>
      </c>
      <c r="ER150" s="1">
        <f>$AF150*Table1[[#This Row],[Total% (&gt;=65)]]</f>
        <v>1.7687780548628427</v>
      </c>
      <c r="ES150" s="1">
        <f>$CT150*Table1[[#This Row],[Female%(&gt;=65)]]</f>
        <v>0.88438902743142123</v>
      </c>
      <c r="ET150" s="1">
        <f>$CU150*Table1[[#This Row],[Male% (&gt;=65)]]</f>
        <v>0.88438902743142112</v>
      </c>
    </row>
    <row r="151" spans="1:150" x14ac:dyDescent="0.35">
      <c r="A151" t="s">
        <v>192</v>
      </c>
      <c r="B151" t="s">
        <v>193</v>
      </c>
      <c r="C151" t="s">
        <v>192</v>
      </c>
      <c r="D151" t="s">
        <v>247</v>
      </c>
      <c r="E151" t="s">
        <v>372</v>
      </c>
      <c r="F151" t="s">
        <v>373</v>
      </c>
      <c r="G151" t="s">
        <v>1143</v>
      </c>
      <c r="H151">
        <v>3</v>
      </c>
      <c r="I151" s="1">
        <v>0</v>
      </c>
      <c r="J151" s="1">
        <v>3752</v>
      </c>
      <c r="K151" s="1">
        <v>15814</v>
      </c>
      <c r="L151" s="1">
        <v>4644</v>
      </c>
      <c r="M151" s="1">
        <v>0</v>
      </c>
      <c r="N151" s="1">
        <v>20458</v>
      </c>
      <c r="O151" s="3">
        <v>0.34</v>
      </c>
      <c r="P151" s="3">
        <v>0</v>
      </c>
      <c r="Q151" s="3">
        <v>0.66</v>
      </c>
      <c r="R151" s="3">
        <v>0</v>
      </c>
      <c r="S151" s="3">
        <v>0</v>
      </c>
      <c r="T151" s="1">
        <v>24210</v>
      </c>
      <c r="U151" s="1">
        <v>24208</v>
      </c>
      <c r="V151" s="10">
        <f>Table1[[#This Row],[Pop NW+RATAA]]*Table1[[#This Row],[Perc_pop_Northern_Aleppo]]</f>
        <v>0</v>
      </c>
      <c r="W151" s="10">
        <f>Table1[[#This Row],[Pop NW+RATAA]]*Table1[[#This Row],[Perc_pop_Afrin District]]</f>
        <v>0</v>
      </c>
      <c r="X151" s="10">
        <f>Table1[[#This Row],[Pop NW+RATAA]]*Table1[[#This Row],[Perc_pop_Euphrates Shiled]]</f>
        <v>0</v>
      </c>
      <c r="Y151" s="10">
        <f>Table1[[#This Row],[Pop NW+RATAA]]*Table1[[#This Row],[Perc_Pop_Idleb_NSAG]]</f>
        <v>24208</v>
      </c>
      <c r="Z151" s="3">
        <v>0</v>
      </c>
      <c r="AA151" s="3">
        <v>0</v>
      </c>
      <c r="AB151" s="3">
        <v>0</v>
      </c>
      <c r="AC151" s="3">
        <v>1</v>
      </c>
      <c r="AD151" s="1">
        <v>6955.72</v>
      </c>
      <c r="AE151" s="1">
        <v>0</v>
      </c>
      <c r="AF151" s="1">
        <v>13502.28</v>
      </c>
      <c r="AG151" s="1">
        <v>0</v>
      </c>
      <c r="AH151" s="1">
        <v>0</v>
      </c>
      <c r="AI151" s="1">
        <f>Table1[[#This Row],[NWS_pin]]*Table1[[#This Row],[Perc_pop_Northern_Aleppo]]</f>
        <v>0</v>
      </c>
      <c r="AJ151" s="1">
        <f>Table1[[#This Row],[NWS_pin]]*Table1[[#This Row],[Perc_pop_Afrin District]]</f>
        <v>0</v>
      </c>
      <c r="AK151" s="1">
        <f>Table1[[#This Row],[NWS_pin]]*Table1[[#This Row],[Perc_pop_Euphrates Shiled]]</f>
        <v>0</v>
      </c>
      <c r="AL151" s="1">
        <f>Table1[[#This Row],[NWS_pin]]*Table1[[#This Row],[Perc_Pop_Idleb_NSAG]]</f>
        <v>13502.28</v>
      </c>
      <c r="AM151" s="4">
        <v>0.47116486822800402</v>
      </c>
      <c r="AN151" s="4">
        <v>0.52883513177199604</v>
      </c>
      <c r="AO151" s="4">
        <v>0.101339513301497</v>
      </c>
      <c r="AP151" s="4">
        <v>0.37410841160866298</v>
      </c>
      <c r="AQ151" s="4">
        <v>0.59682582841090404</v>
      </c>
      <c r="AR151" s="4">
        <v>0</v>
      </c>
      <c r="AS151" s="4">
        <v>0</v>
      </c>
      <c r="AT151" s="4">
        <v>2.90657599804327E-2</v>
      </c>
      <c r="AU151" s="4">
        <v>2.7203970077520501E-2</v>
      </c>
      <c r="AV151" s="4">
        <v>1.9410040543574598E-2</v>
      </c>
      <c r="AW151" s="4">
        <v>3.41479599171048E-2</v>
      </c>
      <c r="AX151" s="4">
        <v>0.132623817565894</v>
      </c>
      <c r="AY151" s="4">
        <v>0.117523623771517</v>
      </c>
      <c r="AZ151" s="4">
        <v>0.146077312600358</v>
      </c>
      <c r="BA151" s="4">
        <v>0.14693012724631399</v>
      </c>
      <c r="BB151" s="4">
        <v>0.126931974087136</v>
      </c>
      <c r="BC151" s="4">
        <v>0.16474745183758099</v>
      </c>
      <c r="BD151" s="4">
        <v>0.101633120814311</v>
      </c>
      <c r="BE151" s="4">
        <v>0.111015272467325</v>
      </c>
      <c r="BF151" s="4">
        <v>9.3274106857587302E-2</v>
      </c>
      <c r="BG151" s="4">
        <v>6.2291700870091601E-2</v>
      </c>
      <c r="BH151" s="4">
        <v>5.8446891697932699E-2</v>
      </c>
      <c r="BI151" s="4">
        <v>6.5717227840835904E-2</v>
      </c>
      <c r="BJ151" s="4">
        <v>4.2171283310734498E-2</v>
      </c>
      <c r="BK151" s="4">
        <v>3.48672046762468E-2</v>
      </c>
      <c r="BL151" s="4">
        <v>4.8678841225455502E-2</v>
      </c>
      <c r="BM151" s="4">
        <v>1.39896785548682E-2</v>
      </c>
      <c r="BN151" s="4">
        <v>1.9626810610783502E-2</v>
      </c>
      <c r="BO151" s="4">
        <v>8.96728419651769E-3</v>
      </c>
      <c r="BP151" s="4">
        <v>4.5998330737415598E-2</v>
      </c>
      <c r="BQ151" s="4">
        <v>7.2967578783403098E-2</v>
      </c>
      <c r="BR151" s="4">
        <v>2.1970119602466701E-2</v>
      </c>
      <c r="BS151" s="4">
        <v>9.8885266689414997E-2</v>
      </c>
      <c r="BT151" s="4">
        <v>0.12877341884976001</v>
      </c>
      <c r="BU151" s="4">
        <v>7.2256462307563205E-2</v>
      </c>
      <c r="BV151" s="4">
        <v>0.120628499805833</v>
      </c>
      <c r="BW151" s="4">
        <v>0.11982460602128001</v>
      </c>
      <c r="BX151" s="4">
        <v>0.121344727768599</v>
      </c>
      <c r="BY151" s="4">
        <v>9.3115774762023804E-2</v>
      </c>
      <c r="BZ151" s="4">
        <v>8.0401904024203996E-2</v>
      </c>
      <c r="CA151" s="4">
        <v>0.104443178844995</v>
      </c>
      <c r="CB151" s="4">
        <v>3.1776634675027303E-2</v>
      </c>
      <c r="CC151" s="4">
        <v>2.9691684372567299E-2</v>
      </c>
      <c r="CD151" s="4">
        <v>3.3634218022844602E-2</v>
      </c>
      <c r="CE151" s="4">
        <v>2.11030009344217E-2</v>
      </c>
      <c r="CF151" s="4">
        <v>1.50973106426757E-2</v>
      </c>
      <c r="CG151" s="4">
        <v>2.6453761700725598E-2</v>
      </c>
      <c r="CH151" s="4">
        <v>1.65977522189583E-2</v>
      </c>
      <c r="CI151" s="4">
        <v>1.50973106426757E-2</v>
      </c>
      <c r="CJ151" s="4">
        <v>1.7934568393035401E-2</v>
      </c>
      <c r="CK151" s="4">
        <v>2.1339967138660602E-2</v>
      </c>
      <c r="CL151" s="4">
        <v>3.5227058166243302E-2</v>
      </c>
      <c r="CM151" s="4">
        <v>8.96728419651769E-3</v>
      </c>
      <c r="CN151" s="4">
        <v>9.4844298394047306E-3</v>
      </c>
      <c r="CO151" s="4">
        <v>0</v>
      </c>
      <c r="CP151" s="4">
        <v>1.7934568393035401E-2</v>
      </c>
      <c r="CQ151" s="4">
        <v>1.42266447591071E-2</v>
      </c>
      <c r="CR151" s="4">
        <v>1.50973106426757E-2</v>
      </c>
      <c r="CS151" s="4">
        <v>1.34509262947765E-2</v>
      </c>
      <c r="CT151" s="1">
        <f>Table1[[#This Row],[Female %]]*Table1[[#This Row],[NWS_pin]]</f>
        <v>6361.7999769776143</v>
      </c>
      <c r="CU151" s="1">
        <f>Table1[[#This Row],[Male %]]*Table1[[#This Row],[NWS_pin]]</f>
        <v>7140.4800230223873</v>
      </c>
      <c r="CV151" s="1">
        <f>Table1[[#This Row],[Female% (0-2)22]]+Table1[[#This Row],[Male%(0-2)3]]</f>
        <v>367.3156210983035</v>
      </c>
      <c r="CW151" s="1">
        <f>$CT151*Table1[[#This Row],[Female% (0-2)]]</f>
        <v>123.48279548324744</v>
      </c>
      <c r="CX151" s="1">
        <f>$CU151*Table1[[#This Row],[Male%(0-2)]]</f>
        <v>243.83282561505604</v>
      </c>
      <c r="CY151" s="1">
        <f>Table1[[#This Row],[Female%  (3-5)5]]+Table1[[#This Row],[Male% (3-5)6]]</f>
        <v>2629.899007217331</v>
      </c>
      <c r="CZ151" s="1">
        <f>$AF151*Table1[[#This Row],[Female%  (3-5)]]</f>
        <v>1586.8368747776785</v>
      </c>
      <c r="DA151" s="1">
        <f>$CU151*Table1[[#This Row],[Male% (3-5)]]</f>
        <v>1043.0621324396527</v>
      </c>
      <c r="DB151" s="1">
        <f>Table1[[#This Row],[Female% (6-8)8]]+Table1[[#This Row],[Male%(6-8)9]]</f>
        <v>1983.891718515355</v>
      </c>
      <c r="DC151" s="1">
        <f>$CT151*Table1[[#This Row],[Female% (6-8)]]</f>
        <v>807.51582982526486</v>
      </c>
      <c r="DD151" s="1">
        <f>$CU151*Table1[[#This Row],[Male%(6-8)]]</f>
        <v>1176.3758886900901</v>
      </c>
      <c r="DE151" s="1">
        <f>Table1[[#This Row],[Female% (9 - 11)11]]+Table1[[#This Row],[Male% (9 - 11)12]]</f>
        <v>1372.2788545086494</v>
      </c>
      <c r="DF151" s="1">
        <f>$CT151*Table1[[#This Row],[Female% (9 - 11)]]</f>
        <v>706.25695782679179</v>
      </c>
      <c r="DG151" s="1">
        <f>$CU151*Table1[[#This Row],[Male% (9 - 11)]]</f>
        <v>666.02189668185758</v>
      </c>
      <c r="DH151" s="1">
        <f>Table1[[#This Row],[Female% (12-14)14]]+Table1[[#This Row],[Male%(12-14)15]]</f>
        <v>841.07998682422078</v>
      </c>
      <c r="DI151" s="1">
        <f>$CT151*Table1[[#This Row],[Female% (12-14)]]</f>
        <v>371.82743425832138</v>
      </c>
      <c r="DJ151" s="1">
        <f>$CU151*Table1[[#This Row],[Male%(12-14)]]</f>
        <v>469.25255256589941</v>
      </c>
      <c r="DK151" s="1">
        <f>Table1[[#This Row],[Female% (15-17)17]]+Table1[[#This Row],[Male%(15-17)18]]</f>
        <v>569.40847522086426</v>
      </c>
      <c r="DL151" s="1">
        <f>$CT151*Table1[[#This Row],[Female% (15-17)]]</f>
        <v>221.81818190662065</v>
      </c>
      <c r="DM151" s="1">
        <f>$CU151*Table1[[#This Row],[Male%(15-17)]]</f>
        <v>347.59029331424364</v>
      </c>
      <c r="DN151" s="1">
        <f>$AF151*Table1[[#This Row],[Total% (18-19)]]</f>
        <v>188.8925569578258</v>
      </c>
      <c r="DO151" s="1">
        <f>$CT151*Table1[[#This Row],[Female% (18-19)]]</f>
        <v>124.86184329182647</v>
      </c>
      <c r="DP151" s="1">
        <f>$CU151*Table1[[#This Row],[Male%(18-19)]]</f>
        <v>64.030713665998931</v>
      </c>
      <c r="DQ151" s="1">
        <f>$AF151*Table1[[#This Row],[Total% (20-24)]]</f>
        <v>621.08234114919196</v>
      </c>
      <c r="DR151" s="1">
        <f>$CT151*Table1[[#This Row],[Female% (20-24)]]</f>
        <v>464.20514102436607</v>
      </c>
      <c r="DS151" s="1">
        <f>$CU151*Table1[[#This Row],[Male% (20-24)]]</f>
        <v>156.87720012482603</v>
      </c>
      <c r="DT151" s="1">
        <f>$AF151*Table1[[#This Row],[Total% (25-29)]]</f>
        <v>1335.1765587151544</v>
      </c>
      <c r="DU151" s="1">
        <f>$CT151*Table1[[#This Row],[Female% (25-29)]]</f>
        <v>819.23073307373193</v>
      </c>
      <c r="DV151" s="1">
        <f>$CU151*Table1[[#This Row],[Male% (25-29)]]</f>
        <v>515.94582564142513</v>
      </c>
      <c r="DW151" s="1">
        <f>$AF151*Table1[[#This Row],[Total%   (30-34)]]</f>
        <v>1628.7597803583028</v>
      </c>
      <c r="DX151" s="1">
        <f>$CT151*Table1[[#This Row],[Female%   (30-34)]]</f>
        <v>762.30017582753089</v>
      </c>
      <c r="DY151" s="1">
        <f>$CU151*Table1[[#This Row],[Male%  (30-34)]]</f>
        <v>866.45960453077112</v>
      </c>
      <c r="DZ151" s="1">
        <f>$AF151*Table1[[#This Row],[Total% (35-39)]]</f>
        <v>1257.2752632537788</v>
      </c>
      <c r="EA151" s="1">
        <f>$CT151*Table1[[#This Row],[Female% (35-39)]]</f>
        <v>511.50083117013736</v>
      </c>
      <c r="EB151" s="1">
        <f>$CU151*Table1[[#This Row],[Male% (35-39)]]</f>
        <v>745.77443208364127</v>
      </c>
      <c r="EC151" s="1">
        <f>$AF151*Table1[[#This Row],[Total% (40-44)]]</f>
        <v>429.05701883992765</v>
      </c>
      <c r="ED151" s="1">
        <f>$CT151*Table1[[#This Row],[Female% (40-44)]]</f>
        <v>188.89255695782524</v>
      </c>
      <c r="EE151" s="1">
        <f>$CU151*Table1[[#This Row],[Male%(55-59)]]</f>
        <v>240.16446188210142</v>
      </c>
      <c r="EF151" s="1">
        <f>$AF151*Table1[[#This Row],[Total% (45-49)]]</f>
        <v>284.93862745682344</v>
      </c>
      <c r="EG151" s="1">
        <f>$CT151*Table1[[#This Row],[Female% (45-49)]]</f>
        <v>96.046070498998162</v>
      </c>
      <c r="EH151" s="1">
        <f>$CU151*Table1[[#This Row],[Male% (45-49)]]</f>
        <v>188.89255695782586</v>
      </c>
      <c r="EI151" s="1">
        <f>$AF151*Table1[[#This Row],[Total% (50-54)]]</f>
        <v>224.10749783099629</v>
      </c>
      <c r="EJ151" s="1">
        <f>$CT151*Table1[[#This Row],[Female%(50-54)]]</f>
        <v>96.046070498998162</v>
      </c>
      <c r="EK151" s="1">
        <f>$CU151*Table1[[#This Row],[Male% (50-54)]]</f>
        <v>128.061427331998</v>
      </c>
      <c r="EL151" s="1">
        <f>$AF151*Table1[[#This Row],[Total% (55-59)]]</f>
        <v>288.1382114969943</v>
      </c>
      <c r="EM151" s="1">
        <f>$CT151*Table1[[#This Row],[Female% (55-59)]]</f>
        <v>224.10749783099573</v>
      </c>
      <c r="EN151" s="1">
        <f>$CU151*Table1[[#This Row],[Male% (55-59)]]</f>
        <v>64.030713665998931</v>
      </c>
      <c r="EO151" s="1">
        <f>$AF151*Table1[[#This Row],[Total% (60-64)]]</f>
        <v>128.06142733199772</v>
      </c>
      <c r="EP151" s="1">
        <f>$CT151*Table1[[#This Row],[Female%(60-64)]]</f>
        <v>0</v>
      </c>
      <c r="EQ151" s="1">
        <f>$CU151*Table1[[#This Row],[Male%(60-64)]]</f>
        <v>128.061427331998</v>
      </c>
      <c r="ER151" s="1">
        <f>$AF151*Table1[[#This Row],[Total% (&gt;=65)]]</f>
        <v>192.09214099799664</v>
      </c>
      <c r="ES151" s="1">
        <f>$CT151*Table1[[#This Row],[Female%(&gt;=65)]]</f>
        <v>96.046070498998162</v>
      </c>
      <c r="ET151" s="1">
        <f>$CU151*Table1[[#This Row],[Male% (&gt;=65)]]</f>
        <v>96.046070498998134</v>
      </c>
    </row>
    <row r="152" spans="1:150" x14ac:dyDescent="0.35">
      <c r="A152" t="s">
        <v>192</v>
      </c>
      <c r="B152" t="s">
        <v>193</v>
      </c>
      <c r="C152" t="s">
        <v>192</v>
      </c>
      <c r="D152" t="s">
        <v>247</v>
      </c>
      <c r="E152" t="s">
        <v>263</v>
      </c>
      <c r="F152" t="s">
        <v>264</v>
      </c>
      <c r="G152" t="s">
        <v>1143</v>
      </c>
      <c r="H152">
        <v>4</v>
      </c>
      <c r="I152" s="1">
        <v>0</v>
      </c>
      <c r="J152" s="1">
        <v>0</v>
      </c>
      <c r="K152" s="1">
        <v>155020</v>
      </c>
      <c r="L152" s="1">
        <v>167096</v>
      </c>
      <c r="M152" s="1">
        <v>0</v>
      </c>
      <c r="N152" s="1">
        <v>322116</v>
      </c>
      <c r="O152" s="3">
        <v>0</v>
      </c>
      <c r="P152" s="3">
        <v>0</v>
      </c>
      <c r="Q152" s="3">
        <v>1</v>
      </c>
      <c r="R152" s="3">
        <v>0</v>
      </c>
      <c r="S152" s="3">
        <v>0</v>
      </c>
      <c r="T152" s="1">
        <v>322116</v>
      </c>
      <c r="U152" s="1">
        <v>322113</v>
      </c>
      <c r="V152" s="10">
        <f>Table1[[#This Row],[Pop NW+RATAA]]*Table1[[#This Row],[Perc_pop_Northern_Aleppo]]</f>
        <v>0</v>
      </c>
      <c r="W152" s="10">
        <f>Table1[[#This Row],[Pop NW+RATAA]]*Table1[[#This Row],[Perc_pop_Afrin District]]</f>
        <v>0</v>
      </c>
      <c r="X152" s="10">
        <f>Table1[[#This Row],[Pop NW+RATAA]]*Table1[[#This Row],[Perc_pop_Euphrates Shiled]]</f>
        <v>0</v>
      </c>
      <c r="Y152" s="10">
        <f>Table1[[#This Row],[Pop NW+RATAA]]*Table1[[#This Row],[Perc_Pop_Idleb_NSAG]]</f>
        <v>322113</v>
      </c>
      <c r="Z152" s="3">
        <v>0</v>
      </c>
      <c r="AA152" s="3">
        <v>0</v>
      </c>
      <c r="AB152" s="3">
        <v>0</v>
      </c>
      <c r="AC152" s="3">
        <v>1</v>
      </c>
      <c r="AD152" s="1">
        <v>0</v>
      </c>
      <c r="AE152" s="1">
        <v>0</v>
      </c>
      <c r="AF152" s="1">
        <v>322116</v>
      </c>
      <c r="AG152" s="1">
        <v>0</v>
      </c>
      <c r="AH152" s="1">
        <v>0</v>
      </c>
      <c r="AI152" s="1">
        <f>Table1[[#This Row],[NWS_pin]]*Table1[[#This Row],[Perc_pop_Northern_Aleppo]]</f>
        <v>0</v>
      </c>
      <c r="AJ152" s="1">
        <f>Table1[[#This Row],[NWS_pin]]*Table1[[#This Row],[Perc_pop_Afrin District]]</f>
        <v>0</v>
      </c>
      <c r="AK152" s="1">
        <f>Table1[[#This Row],[NWS_pin]]*Table1[[#This Row],[Perc_pop_Euphrates Shiled]]</f>
        <v>0</v>
      </c>
      <c r="AL152" s="1">
        <f>Table1[[#This Row],[NWS_pin]]*Table1[[#This Row],[Perc_Pop_Idleb_NSAG]]</f>
        <v>322116</v>
      </c>
      <c r="AM152" s="4">
        <v>0.54656611185388604</v>
      </c>
      <c r="AN152" s="4">
        <v>0.45343388814611402</v>
      </c>
      <c r="AO152" s="4">
        <v>0.190892138094509</v>
      </c>
      <c r="AP152" s="4">
        <v>0.44730061486926698</v>
      </c>
      <c r="AQ152" s="4">
        <v>0.466359045624474</v>
      </c>
      <c r="AR152" s="4">
        <v>3.2813998551604003E-2</v>
      </c>
      <c r="AS152" s="4">
        <v>0</v>
      </c>
      <c r="AT152" s="4">
        <v>5.3526340954655097E-2</v>
      </c>
      <c r="AU152" s="4">
        <v>7.8342553526490402E-2</v>
      </c>
      <c r="AV152" s="4">
        <v>6.6591540053259096E-2</v>
      </c>
      <c r="AW152" s="4">
        <v>9.2507144908634598E-2</v>
      </c>
      <c r="AX152" s="4">
        <v>0.101941444434659</v>
      </c>
      <c r="AY152" s="4">
        <v>0.114775757800652</v>
      </c>
      <c r="AZ152" s="4">
        <v>8.6471050760632703E-2</v>
      </c>
      <c r="BA152" s="4">
        <v>7.8344688448205496E-2</v>
      </c>
      <c r="BB152" s="4">
        <v>6.4001820225399395E-2</v>
      </c>
      <c r="BC152" s="4">
        <v>9.5633483843325207E-2</v>
      </c>
      <c r="BD152" s="4">
        <v>5.9367903053204898E-2</v>
      </c>
      <c r="BE152" s="4">
        <v>6.0780294692929698E-2</v>
      </c>
      <c r="BF152" s="4">
        <v>5.76654158172034E-2</v>
      </c>
      <c r="BG152" s="4">
        <v>6.7064295836102003E-2</v>
      </c>
      <c r="BH152" s="4">
        <v>8.5841595470529206E-2</v>
      </c>
      <c r="BI152" s="4">
        <v>4.44302671042286E-2</v>
      </c>
      <c r="BJ152" s="4">
        <v>6.0740657716007403E-2</v>
      </c>
      <c r="BK152" s="4">
        <v>6.3097566620347295E-2</v>
      </c>
      <c r="BL152" s="4">
        <v>5.7899655820216701E-2</v>
      </c>
      <c r="BM152" s="4">
        <v>1.8050229370651798E-2</v>
      </c>
      <c r="BN152" s="4">
        <v>1.5037366376023001E-2</v>
      </c>
      <c r="BO152" s="4">
        <v>2.16819138467623E-2</v>
      </c>
      <c r="BP152" s="4">
        <v>0.101998553590538</v>
      </c>
      <c r="BQ152" s="4">
        <v>9.8853668135020903E-2</v>
      </c>
      <c r="BR152" s="4">
        <v>0.105789377039301</v>
      </c>
      <c r="BS152" s="4">
        <v>7.1824103799893804E-2</v>
      </c>
      <c r="BT152" s="4">
        <v>7.2181116333300405E-2</v>
      </c>
      <c r="BU152" s="4">
        <v>7.1393763330492604E-2</v>
      </c>
      <c r="BV152" s="4">
        <v>6.8129621771931603E-2</v>
      </c>
      <c r="BW152" s="4">
        <v>6.5701934184790006E-2</v>
      </c>
      <c r="BX152" s="4">
        <v>7.1055939808558802E-2</v>
      </c>
      <c r="BY152" s="4">
        <v>6.752170281356E-2</v>
      </c>
      <c r="BZ152" s="4">
        <v>7.8526515821020298E-2</v>
      </c>
      <c r="CA152" s="4">
        <v>5.4256576376366002E-2</v>
      </c>
      <c r="CB152" s="4">
        <v>4.2427299243970901E-2</v>
      </c>
      <c r="CC152" s="4">
        <v>3.7445473800570103E-2</v>
      </c>
      <c r="CD152" s="4">
        <v>4.8432357607974097E-2</v>
      </c>
      <c r="CE152" s="4">
        <v>6.0682481099271199E-2</v>
      </c>
      <c r="CF152" s="4">
        <v>8.2768500335433107E-2</v>
      </c>
      <c r="CG152" s="4">
        <v>3.4060144357758601E-2</v>
      </c>
      <c r="CH152" s="4">
        <v>4.9027943456598402E-2</v>
      </c>
      <c r="CI152" s="4">
        <v>3.2690818505755101E-2</v>
      </c>
      <c r="CJ152" s="4">
        <v>6.8720602291079097E-2</v>
      </c>
      <c r="CK152" s="4">
        <v>1.30016732448942E-2</v>
      </c>
      <c r="CL152" s="4">
        <v>8.0562551206046003E-4</v>
      </c>
      <c r="CM152" s="4">
        <v>2.7702705884014699E-2</v>
      </c>
      <c r="CN152" s="4">
        <v>2.30032477496591E-2</v>
      </c>
      <c r="CO152" s="4">
        <v>2.70846414575865E-2</v>
      </c>
      <c r="CP152" s="4">
        <v>1.80835636497182E-2</v>
      </c>
      <c r="CQ152" s="4">
        <v>3.8531600844361497E-2</v>
      </c>
      <c r="CR152" s="4">
        <v>3.3815764675323101E-2</v>
      </c>
      <c r="CS152" s="4">
        <v>4.4216037553733899E-2</v>
      </c>
      <c r="CT152" s="1">
        <f>Table1[[#This Row],[Female %]]*Table1[[#This Row],[NWS_pin]]</f>
        <v>176057.68968592637</v>
      </c>
      <c r="CU152" s="1">
        <f>Table1[[#This Row],[Male %]]*Table1[[#This Row],[NWS_pin]]</f>
        <v>146058.31031407366</v>
      </c>
      <c r="CV152" s="1">
        <f>Table1[[#This Row],[Female% (0-2)22]]+Table1[[#This Row],[Male%(0-2)3]]</f>
        <v>25235.389971738958</v>
      </c>
      <c r="CW152" s="1">
        <f>$CT152*Table1[[#This Row],[Female% (0-2)]]</f>
        <v>11723.952694404627</v>
      </c>
      <c r="CX152" s="1">
        <f>$CU152*Table1[[#This Row],[Male%(0-2)]]</f>
        <v>13511.437277334331</v>
      </c>
      <c r="CY152" s="1">
        <f>Table1[[#This Row],[Female%  (3-5)5]]+Table1[[#This Row],[Male% (3-5)6]]</f>
        <v>49600.923564895325</v>
      </c>
      <c r="CZ152" s="1">
        <f>$AF152*Table1[[#This Row],[Female%  (3-5)]]</f>
        <v>36971.107999714819</v>
      </c>
      <c r="DA152" s="1">
        <f>$CU152*Table1[[#This Row],[Male% (3-5)]]</f>
        <v>12629.815565180506</v>
      </c>
      <c r="DB152" s="1">
        <f>Table1[[#This Row],[Female% (6-8)8]]+Table1[[#This Row],[Male%(6-8)9]]</f>
        <v>25236.077664182158</v>
      </c>
      <c r="DC152" s="1">
        <f>$CT152*Table1[[#This Row],[Female% (6-8)]]</f>
        <v>11268.012604577812</v>
      </c>
      <c r="DD152" s="1">
        <f>$CU152*Table1[[#This Row],[Male%(6-8)]]</f>
        <v>13968.065059604343</v>
      </c>
      <c r="DE152" s="1">
        <f>Table1[[#This Row],[Female% (9 - 11)11]]+Table1[[#This Row],[Male% (9 - 11)12]]</f>
        <v>19123.351459886158</v>
      </c>
      <c r="DF152" s="1">
        <f>$CT152*Table1[[#This Row],[Female% (9 - 11)]]</f>
        <v>10700.838262066974</v>
      </c>
      <c r="DG152" s="1">
        <f>$CU152*Table1[[#This Row],[Male% (9 - 11)]]</f>
        <v>8422.5131978191857</v>
      </c>
      <c r="DH152" s="1">
        <f>Table1[[#This Row],[Female% (12-14)14]]+Table1[[#This Row],[Male%(12-14)15]]</f>
        <v>21602.482717541854</v>
      </c>
      <c r="DI152" s="1">
        <f>$CT152*Table1[[#This Row],[Female% (12-14)]]</f>
        <v>15113.072977495252</v>
      </c>
      <c r="DJ152" s="1">
        <f>$CU152*Table1[[#This Row],[Male%(12-14)]]</f>
        <v>6489.4097400465998</v>
      </c>
      <c r="DK152" s="1">
        <f>Table1[[#This Row],[Female% (15-17)17]]+Table1[[#This Row],[Male%(15-17)18]]</f>
        <v>19565.53770084944</v>
      </c>
      <c r="DL152" s="1">
        <f>$CT152*Table1[[#This Row],[Female% (15-17)]]</f>
        <v>11108.811803982169</v>
      </c>
      <c r="DM152" s="1">
        <f>$CU152*Table1[[#This Row],[Male%(15-17)]]</f>
        <v>8456.7258968672722</v>
      </c>
      <c r="DN152" s="1">
        <f>$AF152*Table1[[#This Row],[Total% (18-19)]]</f>
        <v>5814.2676839568749</v>
      </c>
      <c r="DO152" s="1">
        <f>$CT152*Table1[[#This Row],[Female% (18-19)]]</f>
        <v>2647.4439831234404</v>
      </c>
      <c r="DP152" s="1">
        <f>$CU152*Table1[[#This Row],[Male%(18-19)]]</f>
        <v>3166.8237008334186</v>
      </c>
      <c r="DQ152" s="1">
        <f>$AF152*Table1[[#This Row],[Total% (20-24)]]</f>
        <v>32855.366088369738</v>
      </c>
      <c r="DR152" s="1">
        <f>$CT152*Table1[[#This Row],[Female% (20-24)]]</f>
        <v>17403.948428831056</v>
      </c>
      <c r="DS152" s="1">
        <f>$CU152*Table1[[#This Row],[Male% (20-24)]]</f>
        <v>15451.417659538765</v>
      </c>
      <c r="DT152" s="1">
        <f>$AF152*Table1[[#This Row],[Total% (25-29)]]</f>
        <v>23135.693019606591</v>
      </c>
      <c r="DU152" s="1">
        <f>$CT152*Table1[[#This Row],[Female% (25-29)]]</f>
        <v>12708.040580591954</v>
      </c>
      <c r="DV152" s="1">
        <f>$CU152*Table1[[#This Row],[Male% (25-29)]]</f>
        <v>10427.652439014622</v>
      </c>
      <c r="DW152" s="1">
        <f>$AF152*Table1[[#This Row],[Total%   (30-34)]]</f>
        <v>21945.641246687519</v>
      </c>
      <c r="DX152" s="1">
        <f>$CT152*Table1[[#This Row],[Female%   (30-34)]]</f>
        <v>11567.330740470916</v>
      </c>
      <c r="DY152" s="1">
        <f>$CU152*Table1[[#This Row],[Male%  (30-34)]]</f>
        <v>10378.310506216621</v>
      </c>
      <c r="DZ152" s="1">
        <f>$AF152*Table1[[#This Row],[Total% (35-39)]]</f>
        <v>21749.820823492693</v>
      </c>
      <c r="EA152" s="1">
        <f>$CT152*Table1[[#This Row],[Female% (35-39)]]</f>
        <v>13825.196954534178</v>
      </c>
      <c r="EB152" s="1">
        <f>$CU152*Table1[[#This Row],[Male% (35-39)]]</f>
        <v>7924.6238689585043</v>
      </c>
      <c r="EC152" s="1">
        <f>$AF152*Table1[[#This Row],[Total% (40-44)]]</f>
        <v>13666.511923270931</v>
      </c>
      <c r="ED152" s="1">
        <f>$CT152*Table1[[#This Row],[Female% (40-44)]]</f>
        <v>6592.5636065232566</v>
      </c>
      <c r="EE152" s="1">
        <f>$CU152*Table1[[#This Row],[Male%(55-59)]]</f>
        <v>7073.9483167476674</v>
      </c>
      <c r="EF152" s="1">
        <f>$AF152*Table1[[#This Row],[Total% (45-49)]]</f>
        <v>19546.798081772842</v>
      </c>
      <c r="EG152" s="1">
        <f>$CT152*Table1[[#This Row],[Female% (45-49)]]</f>
        <v>14572.030947825175</v>
      </c>
      <c r="EH152" s="1">
        <f>$CU152*Table1[[#This Row],[Male% (45-49)]]</f>
        <v>4974.767133947651</v>
      </c>
      <c r="EI152" s="1">
        <f>$AF152*Table1[[#This Row],[Total% (50-54)]]</f>
        <v>15792.68503446565</v>
      </c>
      <c r="EJ152" s="1">
        <f>$CT152*Table1[[#This Row],[Female%(50-54)]]</f>
        <v>5755.4699800651706</v>
      </c>
      <c r="EK152" s="1">
        <f>$CU152*Table1[[#This Row],[Male% (50-54)]]</f>
        <v>10037.215054400473</v>
      </c>
      <c r="EL152" s="1">
        <f>$AF152*Table1[[#This Row],[Total% (55-59)]]</f>
        <v>4188.0469789523404</v>
      </c>
      <c r="EM152" s="1">
        <f>$CT152*Table1[[#This Row],[Female% (55-59)]]</f>
        <v>141.83656640540599</v>
      </c>
      <c r="EN152" s="1">
        <f>$CU152*Table1[[#This Row],[Male% (55-59)]]</f>
        <v>4046.2104125469332</v>
      </c>
      <c r="EO152" s="1">
        <f>$AF152*Table1[[#This Row],[Total% (60-64)]]</f>
        <v>7409.7141521291906</v>
      </c>
      <c r="EP152" s="1">
        <f>$CT152*Table1[[#This Row],[Female%(60-64)]]</f>
        <v>4768.4594009943403</v>
      </c>
      <c r="EQ152" s="1">
        <f>$CU152*Table1[[#This Row],[Male%(60-64)]]</f>
        <v>2641.2547511348434</v>
      </c>
      <c r="ER152" s="1">
        <f>$AF152*Table1[[#This Row],[Total% (&gt;=65)]]</f>
        <v>12411.645137582347</v>
      </c>
      <c r="ES152" s="1">
        <f>$CT152*Table1[[#This Row],[Female%(&gt;=65)]]</f>
        <v>5953.5254037003451</v>
      </c>
      <c r="ET152" s="1">
        <f>$CU152*Table1[[#This Row],[Male% (&gt;=65)]]</f>
        <v>6458.1197338820002</v>
      </c>
    </row>
    <row r="153" spans="1:150" x14ac:dyDescent="0.35">
      <c r="A153" t="s">
        <v>192</v>
      </c>
      <c r="B153" t="s">
        <v>193</v>
      </c>
      <c r="C153" t="s">
        <v>192</v>
      </c>
      <c r="D153" t="s">
        <v>247</v>
      </c>
      <c r="E153" t="s">
        <v>248</v>
      </c>
      <c r="F153" t="s">
        <v>249</v>
      </c>
      <c r="G153" t="s">
        <v>1143</v>
      </c>
      <c r="H153">
        <v>4</v>
      </c>
      <c r="I153" s="1">
        <v>0</v>
      </c>
      <c r="J153" s="1">
        <v>4624</v>
      </c>
      <c r="K153" s="1">
        <v>8715</v>
      </c>
      <c r="L153" s="1">
        <v>4447</v>
      </c>
      <c r="M153" s="1">
        <v>0</v>
      </c>
      <c r="N153" s="1">
        <v>13162</v>
      </c>
      <c r="O153" s="3">
        <v>0</v>
      </c>
      <c r="P153" s="3">
        <v>0</v>
      </c>
      <c r="Q153" s="3">
        <v>1</v>
      </c>
      <c r="R153" s="3">
        <v>0</v>
      </c>
      <c r="S153" s="3">
        <v>0</v>
      </c>
      <c r="T153" s="1">
        <v>17786</v>
      </c>
      <c r="U153" s="1">
        <v>17785.5</v>
      </c>
      <c r="V153" s="10">
        <f>Table1[[#This Row],[Pop NW+RATAA]]*Table1[[#This Row],[Perc_pop_Northern_Aleppo]]</f>
        <v>0</v>
      </c>
      <c r="W153" s="10">
        <f>Table1[[#This Row],[Pop NW+RATAA]]*Table1[[#This Row],[Perc_pop_Afrin District]]</f>
        <v>0</v>
      </c>
      <c r="X153" s="10">
        <f>Table1[[#This Row],[Pop NW+RATAA]]*Table1[[#This Row],[Perc_pop_Euphrates Shiled]]</f>
        <v>0</v>
      </c>
      <c r="Y153" s="10">
        <f>Table1[[#This Row],[Pop NW+RATAA]]*Table1[[#This Row],[Perc_Pop_Idleb_NSAG]]</f>
        <v>17785.5</v>
      </c>
      <c r="Z153" s="3">
        <v>0</v>
      </c>
      <c r="AA153" s="3">
        <v>0</v>
      </c>
      <c r="AB153" s="3">
        <v>0</v>
      </c>
      <c r="AC153" s="3">
        <v>1</v>
      </c>
      <c r="AD153" s="1">
        <v>0</v>
      </c>
      <c r="AE153" s="1">
        <v>0</v>
      </c>
      <c r="AF153" s="1">
        <v>13162</v>
      </c>
      <c r="AG153" s="1">
        <v>0</v>
      </c>
      <c r="AH153" s="1">
        <v>0</v>
      </c>
      <c r="AI153" s="1">
        <f>Table1[[#This Row],[NWS_pin]]*Table1[[#This Row],[Perc_pop_Northern_Aleppo]]</f>
        <v>0</v>
      </c>
      <c r="AJ153" s="1">
        <f>Table1[[#This Row],[NWS_pin]]*Table1[[#This Row],[Perc_pop_Afrin District]]</f>
        <v>0</v>
      </c>
      <c r="AK153" s="1">
        <f>Table1[[#This Row],[NWS_pin]]*Table1[[#This Row],[Perc_pop_Euphrates Shiled]]</f>
        <v>0</v>
      </c>
      <c r="AL153" s="1">
        <f>Table1[[#This Row],[NWS_pin]]*Table1[[#This Row],[Perc_Pop_Idleb_NSAG]]</f>
        <v>13162</v>
      </c>
      <c r="AM153" s="4">
        <v>0.49894291754756898</v>
      </c>
      <c r="AN153" s="4">
        <v>0.50105708245243097</v>
      </c>
      <c r="AO153" s="4">
        <v>0.24777265745007701</v>
      </c>
      <c r="AP153" s="4">
        <v>0.47025495750708202</v>
      </c>
      <c r="AQ153" s="4">
        <v>0.48158640226628902</v>
      </c>
      <c r="AR153" s="4">
        <v>8.4985835694051E-3</v>
      </c>
      <c r="AS153" s="4">
        <v>0</v>
      </c>
      <c r="AT153" s="4">
        <v>3.9660056657223802E-2</v>
      </c>
      <c r="AU153" s="4">
        <v>8.4566596194503199E-2</v>
      </c>
      <c r="AV153" s="4">
        <v>7.6271186440677999E-2</v>
      </c>
      <c r="AW153" s="4">
        <v>9.2827004219409301E-2</v>
      </c>
      <c r="AX153" s="4">
        <v>0.107822410147992</v>
      </c>
      <c r="AY153" s="4">
        <v>0.105932203389831</v>
      </c>
      <c r="AZ153" s="4">
        <v>0.109704641350211</v>
      </c>
      <c r="BA153" s="4">
        <v>9.3023255813953501E-2</v>
      </c>
      <c r="BB153" s="4">
        <v>7.6271186440677999E-2</v>
      </c>
      <c r="BC153" s="4">
        <v>0.109704641350211</v>
      </c>
      <c r="BD153" s="4">
        <v>7.3995771670190294E-2</v>
      </c>
      <c r="BE153" s="4">
        <v>7.6271186440677999E-2</v>
      </c>
      <c r="BF153" s="4">
        <v>7.1729957805907199E-2</v>
      </c>
      <c r="BG153" s="4">
        <v>6.7653276955602498E-2</v>
      </c>
      <c r="BH153" s="4">
        <v>6.7796610169491497E-2</v>
      </c>
      <c r="BI153" s="4">
        <v>6.7510548523206704E-2</v>
      </c>
      <c r="BJ153" s="4">
        <v>6.3424947145877403E-2</v>
      </c>
      <c r="BK153" s="4">
        <v>6.7796610169491497E-2</v>
      </c>
      <c r="BL153" s="4">
        <v>5.90717299578059E-2</v>
      </c>
      <c r="BM153" s="4">
        <v>2.5369978858350999E-2</v>
      </c>
      <c r="BN153" s="4">
        <v>2.1186440677966101E-2</v>
      </c>
      <c r="BO153" s="4">
        <v>2.9535864978902999E-2</v>
      </c>
      <c r="BP153" s="4">
        <v>9.3023255813953501E-2</v>
      </c>
      <c r="BQ153" s="4">
        <v>9.3220338983050904E-2</v>
      </c>
      <c r="BR153" s="4">
        <v>9.2827004219409301E-2</v>
      </c>
      <c r="BS153" s="4">
        <v>7.61099365750528E-2</v>
      </c>
      <c r="BT153" s="4">
        <v>8.4745762711864403E-2</v>
      </c>
      <c r="BU153" s="4">
        <v>6.7510548523206704E-2</v>
      </c>
      <c r="BV153" s="4">
        <v>6.3424947145877403E-2</v>
      </c>
      <c r="BW153" s="4">
        <v>5.93220338983051E-2</v>
      </c>
      <c r="BX153" s="4">
        <v>6.7510548523206704E-2</v>
      </c>
      <c r="BY153" s="4">
        <v>5.2854122621564498E-2</v>
      </c>
      <c r="BZ153" s="4">
        <v>6.3559322033898302E-2</v>
      </c>
      <c r="CA153" s="4">
        <v>4.2194092827004197E-2</v>
      </c>
      <c r="CB153" s="4">
        <v>3.5940803382663797E-2</v>
      </c>
      <c r="CC153" s="4">
        <v>3.3898305084745797E-2</v>
      </c>
      <c r="CD153" s="4">
        <v>3.7974683544303799E-2</v>
      </c>
      <c r="CE153" s="4">
        <v>2.9598308668076102E-2</v>
      </c>
      <c r="CF153" s="4">
        <v>4.2372881355932202E-2</v>
      </c>
      <c r="CG153" s="4">
        <v>1.68776371308017E-2</v>
      </c>
      <c r="CH153" s="4">
        <v>4.22832980972516E-2</v>
      </c>
      <c r="CI153" s="4">
        <v>3.3898305084745797E-2</v>
      </c>
      <c r="CJ153" s="4">
        <v>5.0632911392405097E-2</v>
      </c>
      <c r="CK153" s="4">
        <v>2.7484143763213498E-2</v>
      </c>
      <c r="CL153" s="4">
        <v>3.8135593220338999E-2</v>
      </c>
      <c r="CM153" s="4">
        <v>1.68776371308017E-2</v>
      </c>
      <c r="CN153" s="4">
        <v>3.1712473572938701E-2</v>
      </c>
      <c r="CO153" s="4">
        <v>3.3898305084745797E-2</v>
      </c>
      <c r="CP153" s="4">
        <v>2.9535864978902999E-2</v>
      </c>
      <c r="CQ153" s="4">
        <v>3.1712473572938701E-2</v>
      </c>
      <c r="CR153" s="4">
        <v>2.5423728813559299E-2</v>
      </c>
      <c r="CS153" s="4">
        <v>3.7974683544303799E-2</v>
      </c>
      <c r="CT153" s="1">
        <f>Table1[[#This Row],[Female %]]*Table1[[#This Row],[NWS_pin]]</f>
        <v>6567.0866807611028</v>
      </c>
      <c r="CU153" s="1">
        <f>Table1[[#This Row],[Male %]]*Table1[[#This Row],[NWS_pin]]</f>
        <v>6594.9133192388963</v>
      </c>
      <c r="CV153" s="1">
        <f>Table1[[#This Row],[Female% (0-2)22]]+Table1[[#This Row],[Male%(0-2)3]]</f>
        <v>1113.0655391120508</v>
      </c>
      <c r="CW153" s="1">
        <f>$CT153*Table1[[#This Row],[Female% (0-2)]]</f>
        <v>500.8794926004233</v>
      </c>
      <c r="CX153" s="1">
        <f>$CU153*Table1[[#This Row],[Male%(0-2)]]</f>
        <v>612.18604651162764</v>
      </c>
      <c r="CY153" s="1">
        <f>Table1[[#This Row],[Female%  (3-5)5]]+Table1[[#This Row],[Male% (3-5)6]]</f>
        <v>2117.7722614397885</v>
      </c>
      <c r="CZ153" s="1">
        <f>$AF153*Table1[[#This Row],[Female%  (3-5)]]</f>
        <v>1394.2796610169557</v>
      </c>
      <c r="DA153" s="1">
        <f>$CU153*Table1[[#This Row],[Male% (3-5)]]</f>
        <v>723.49260042283277</v>
      </c>
      <c r="DB153" s="1">
        <f>Table1[[#This Row],[Female% (6-8)8]]+Table1[[#This Row],[Male%(6-8)9]]</f>
        <v>1224.3720930232562</v>
      </c>
      <c r="DC153" s="1">
        <f>$CT153*Table1[[#This Row],[Female% (6-8)]]</f>
        <v>500.8794926004233</v>
      </c>
      <c r="DD153" s="1">
        <f>$CU153*Table1[[#This Row],[Male%(6-8)]]</f>
        <v>723.49260042283277</v>
      </c>
      <c r="DE153" s="1">
        <f>Table1[[#This Row],[Female% (9 - 11)11]]+Table1[[#This Row],[Male% (9 - 11)12]]</f>
        <v>973.9323467230447</v>
      </c>
      <c r="DF153" s="1">
        <f>$CT153*Table1[[#This Row],[Female% (9 - 11)]]</f>
        <v>500.8794926004233</v>
      </c>
      <c r="DG153" s="1">
        <f>$CU153*Table1[[#This Row],[Male% (9 - 11)]]</f>
        <v>473.0528541226214</v>
      </c>
      <c r="DH153" s="1">
        <f>Table1[[#This Row],[Female% (12-14)14]]+Table1[[#This Row],[Male%(12-14)15]]</f>
        <v>890.45243128964012</v>
      </c>
      <c r="DI153" s="1">
        <f>$CT153*Table1[[#This Row],[Female% (12-14)]]</f>
        <v>445.22621564482034</v>
      </c>
      <c r="DJ153" s="1">
        <f>$CU153*Table1[[#This Row],[Male%(12-14)]]</f>
        <v>445.22621564481972</v>
      </c>
      <c r="DK153" s="1">
        <f>Table1[[#This Row],[Female% (15-17)17]]+Table1[[#This Row],[Male%(15-17)18]]</f>
        <v>834.79915433403778</v>
      </c>
      <c r="DL153" s="1">
        <f>$CT153*Table1[[#This Row],[Female% (15-17)]]</f>
        <v>445.22621564482034</v>
      </c>
      <c r="DM153" s="1">
        <f>$CU153*Table1[[#This Row],[Male%(15-17)]]</f>
        <v>389.57293868921744</v>
      </c>
      <c r="DN153" s="1">
        <f>$AF153*Table1[[#This Row],[Total% (18-19)]]</f>
        <v>333.91966173361584</v>
      </c>
      <c r="DO153" s="1">
        <f>$CT153*Table1[[#This Row],[Female% (18-19)]]</f>
        <v>139.13319238900641</v>
      </c>
      <c r="DP153" s="1">
        <f>$CU153*Table1[[#This Row],[Male%(18-19)]]</f>
        <v>194.78646934460906</v>
      </c>
      <c r="DQ153" s="1">
        <f>$AF153*Table1[[#This Row],[Total% (20-24)]]</f>
        <v>1224.372093023256</v>
      </c>
      <c r="DR153" s="1">
        <f>$CT153*Table1[[#This Row],[Female% (20-24)]]</f>
        <v>612.18604651162855</v>
      </c>
      <c r="DS153" s="1">
        <f>$CU153*Table1[[#This Row],[Male% (20-24)]]</f>
        <v>612.18604651162764</v>
      </c>
      <c r="DT153" s="1">
        <f>$AF153*Table1[[#This Row],[Total% (25-29)]]</f>
        <v>1001.7589852008449</v>
      </c>
      <c r="DU153" s="1">
        <f>$CT153*Table1[[#This Row],[Female% (25-29)]]</f>
        <v>556.53276955602564</v>
      </c>
      <c r="DV153" s="1">
        <f>$CU153*Table1[[#This Row],[Male% (25-29)]]</f>
        <v>445.22621564481972</v>
      </c>
      <c r="DW153" s="1">
        <f>$AF153*Table1[[#This Row],[Total%   (30-34)]]</f>
        <v>834.79915433403835</v>
      </c>
      <c r="DX153" s="1">
        <f>$CT153*Table1[[#This Row],[Female%   (30-34)]]</f>
        <v>389.57293868921806</v>
      </c>
      <c r="DY153" s="1">
        <f>$CU153*Table1[[#This Row],[Male%  (30-34)]]</f>
        <v>445.22621564481972</v>
      </c>
      <c r="DZ153" s="1">
        <f>$AF153*Table1[[#This Row],[Total% (35-39)]]</f>
        <v>695.66596194503188</v>
      </c>
      <c r="EA153" s="1">
        <f>$CT153*Table1[[#This Row],[Female% (35-39)]]</f>
        <v>417.39957716701923</v>
      </c>
      <c r="EB153" s="1">
        <f>$CU153*Table1[[#This Row],[Male% (35-39)]]</f>
        <v>278.26638477801237</v>
      </c>
      <c r="EC153" s="1">
        <f>$AF153*Table1[[#This Row],[Total% (40-44)]]</f>
        <v>473.05285412262089</v>
      </c>
      <c r="ED153" s="1">
        <f>$CT153*Table1[[#This Row],[Female% (40-44)]]</f>
        <v>222.61310782241048</v>
      </c>
      <c r="EE153" s="1">
        <f>$CU153*Table1[[#This Row],[Male%(55-59)]]</f>
        <v>250.43974630021125</v>
      </c>
      <c r="EF153" s="1">
        <f>$AF153*Table1[[#This Row],[Total% (45-49)]]</f>
        <v>389.57293868921766</v>
      </c>
      <c r="EG153" s="1">
        <f>$CT153*Table1[[#This Row],[Female% (45-49)]]</f>
        <v>278.26638477801282</v>
      </c>
      <c r="EH153" s="1">
        <f>$CU153*Table1[[#This Row],[Male% (45-49)]]</f>
        <v>111.30655391120509</v>
      </c>
      <c r="EI153" s="1">
        <f>$AF153*Table1[[#This Row],[Total% (50-54)]]</f>
        <v>556.53276955602553</v>
      </c>
      <c r="EJ153" s="1">
        <f>$CT153*Table1[[#This Row],[Female%(50-54)]]</f>
        <v>222.61310782241048</v>
      </c>
      <c r="EK153" s="1">
        <f>$CU153*Table1[[#This Row],[Male% (50-54)]]</f>
        <v>333.91966173361521</v>
      </c>
      <c r="EL153" s="1">
        <f>$AF153*Table1[[#This Row],[Total% (55-59)]]</f>
        <v>361.74630021141604</v>
      </c>
      <c r="EM153" s="1">
        <f>$CT153*Table1[[#This Row],[Female% (55-59)]]</f>
        <v>250.43974630021165</v>
      </c>
      <c r="EN153" s="1">
        <f>$CU153*Table1[[#This Row],[Male% (55-59)]]</f>
        <v>111.30655391120509</v>
      </c>
      <c r="EO153" s="1">
        <f>$AF153*Table1[[#This Row],[Total% (60-64)]]</f>
        <v>417.39957716701917</v>
      </c>
      <c r="EP153" s="1">
        <f>$CT153*Table1[[#This Row],[Female%(60-64)]]</f>
        <v>222.61310782241048</v>
      </c>
      <c r="EQ153" s="1">
        <f>$CU153*Table1[[#This Row],[Male%(60-64)]]</f>
        <v>194.78646934460906</v>
      </c>
      <c r="ER153" s="1">
        <f>$AF153*Table1[[#This Row],[Total% (&gt;=65)]]</f>
        <v>417.39957716701917</v>
      </c>
      <c r="ES153" s="1">
        <f>$CT153*Table1[[#This Row],[Female%(&gt;=65)]]</f>
        <v>166.95983086680755</v>
      </c>
      <c r="ET153" s="1">
        <f>$CU153*Table1[[#This Row],[Male% (&gt;=65)]]</f>
        <v>250.43974630021125</v>
      </c>
    </row>
    <row r="154" spans="1:150" hidden="1" x14ac:dyDescent="0.35">
      <c r="A154" t="s">
        <v>192</v>
      </c>
      <c r="B154" t="s">
        <v>193</v>
      </c>
      <c r="C154" t="s">
        <v>229</v>
      </c>
      <c r="D154" t="s">
        <v>230</v>
      </c>
      <c r="E154" t="s">
        <v>614</v>
      </c>
      <c r="F154" t="s">
        <v>615</v>
      </c>
      <c r="H154">
        <v>3</v>
      </c>
      <c r="I154" s="1">
        <v>0</v>
      </c>
      <c r="J154" s="1">
        <v>40</v>
      </c>
      <c r="K154" s="1">
        <v>1055</v>
      </c>
      <c r="L154" s="1">
        <v>0</v>
      </c>
      <c r="M154" s="1">
        <v>0</v>
      </c>
      <c r="N154" s="1">
        <v>1055</v>
      </c>
      <c r="O154" s="3">
        <v>1</v>
      </c>
      <c r="P154" s="3">
        <v>0</v>
      </c>
      <c r="Q154" s="3">
        <v>0</v>
      </c>
      <c r="R154" s="3">
        <v>0</v>
      </c>
      <c r="S154" s="3">
        <v>0</v>
      </c>
      <c r="T154" s="1">
        <v>1095</v>
      </c>
      <c r="U154" s="1">
        <v>0</v>
      </c>
      <c r="V154" s="10">
        <f>Table1[[#This Row],[Pop NW+RATAA]]*Table1[[#This Row],[Perc_pop_Northern_Aleppo]]</f>
        <v>0</v>
      </c>
      <c r="W154" s="10">
        <f>Table1[[#This Row],[Pop NW+RATAA]]*Table1[[#This Row],[Perc_pop_Afrin District]]</f>
        <v>0</v>
      </c>
      <c r="X154" s="10">
        <f>Table1[[#This Row],[Pop NW+RATAA]]*Table1[[#This Row],[Perc_pop_Euphrates Shiled]]</f>
        <v>0</v>
      </c>
      <c r="Y154" s="10">
        <f>Table1[[#This Row],[Pop NW+RATAA]]*Table1[[#This Row],[Perc_Pop_Idleb_NSAG]]</f>
        <v>0</v>
      </c>
      <c r="Z154" s="3">
        <v>0</v>
      </c>
      <c r="AA154" s="3">
        <v>0</v>
      </c>
      <c r="AB154" s="3">
        <v>0</v>
      </c>
      <c r="AC154" s="3">
        <v>0</v>
      </c>
      <c r="AD154" s="1">
        <v>1055</v>
      </c>
      <c r="AE154" s="1">
        <v>0</v>
      </c>
      <c r="AF154" s="1">
        <v>0</v>
      </c>
      <c r="AG154" s="1">
        <v>0</v>
      </c>
      <c r="AH154" s="1">
        <v>0</v>
      </c>
      <c r="AI154" s="1">
        <f>Table1[[#This Row],[NWS_pin]]*Table1[[#This Row],[Perc_pop_Northern_Aleppo]]</f>
        <v>0</v>
      </c>
      <c r="AJ154" s="1">
        <f>Table1[[#This Row],[NWS_pin]]*Table1[[#This Row],[Perc_pop_Afrin District]]</f>
        <v>0</v>
      </c>
      <c r="AK154" s="1">
        <f>Table1[[#This Row],[NWS_pin]]*Table1[[#This Row],[Perc_pop_Euphrates Shiled]]</f>
        <v>0</v>
      </c>
      <c r="AL154" s="1">
        <f>Table1[[#This Row],[NWS_pin]]*Table1[[#This Row],[Perc_Pop_Idleb_NSAG]]</f>
        <v>0</v>
      </c>
      <c r="AM154" s="4">
        <v>0.489348576275761</v>
      </c>
      <c r="AN154" s="4">
        <v>0.510651423724239</v>
      </c>
      <c r="AO154" s="4">
        <v>0.210766045548654</v>
      </c>
      <c r="AP154" s="4">
        <v>0.40987781230287601</v>
      </c>
      <c r="AQ154" s="4">
        <v>0.51998691680489695</v>
      </c>
      <c r="AR154" s="4">
        <v>3.0885685582786201E-2</v>
      </c>
      <c r="AS154" s="4">
        <v>0</v>
      </c>
      <c r="AT154" s="4">
        <v>3.9249585309440997E-2</v>
      </c>
      <c r="AU154" s="4">
        <v>4.9777332228027202E-2</v>
      </c>
      <c r="AV154" s="4">
        <v>8.5175117204428205E-2</v>
      </c>
      <c r="AW154" s="4">
        <v>1.5856236786469399E-2</v>
      </c>
      <c r="AX154" s="4">
        <v>3.2985676003932901E-2</v>
      </c>
      <c r="AY154" s="4">
        <v>1.7767797344679499E-2</v>
      </c>
      <c r="AZ154" s="4">
        <v>4.7568710359408101E-2</v>
      </c>
      <c r="BA154" s="4">
        <v>0.13373561334849901</v>
      </c>
      <c r="BB154" s="4">
        <v>0.120710711893787</v>
      </c>
      <c r="BC154" s="4">
        <v>0.14621715493808499</v>
      </c>
      <c r="BD154" s="4">
        <v>7.6458907674808604E-2</v>
      </c>
      <c r="BE154" s="4">
        <v>5.3303392034038499E-2</v>
      </c>
      <c r="BF154" s="4">
        <v>9.8648444578677094E-2</v>
      </c>
      <c r="BG154" s="4">
        <v>6.08625243392261E-2</v>
      </c>
      <c r="BH154" s="4">
        <v>5.3303392034038499E-2</v>
      </c>
      <c r="BI154" s="4">
        <v>6.8106312292358695E-2</v>
      </c>
      <c r="BJ154" s="4">
        <v>5.9069615006458298E-2</v>
      </c>
      <c r="BK154" s="4">
        <v>5.0860812354725601E-2</v>
      </c>
      <c r="BL154" s="4">
        <v>6.6935971005738407E-2</v>
      </c>
      <c r="BM154" s="4">
        <v>2.5486302558269499E-2</v>
      </c>
      <c r="BN154" s="4">
        <v>3.5535594689358997E-2</v>
      </c>
      <c r="BO154" s="4">
        <v>1.5856236786469399E-2</v>
      </c>
      <c r="BP154" s="4">
        <v>7.4068361897784901E-2</v>
      </c>
      <c r="BQ154" s="4">
        <v>6.8628609699405096E-2</v>
      </c>
      <c r="BR154" s="4">
        <v>7.9281183932346802E-2</v>
      </c>
      <c r="BS154" s="4">
        <v>7.4665998342040907E-2</v>
      </c>
      <c r="BT154" s="4">
        <v>0.10172162470945099</v>
      </c>
      <c r="BU154" s="4">
        <v>4.8739051646028403E-2</v>
      </c>
      <c r="BV154" s="4">
        <v>4.9777332228027202E-2</v>
      </c>
      <c r="BW154" s="4">
        <v>8.5175117204428205E-2</v>
      </c>
      <c r="BX154" s="4">
        <v>1.5856236786469399E-2</v>
      </c>
      <c r="BY154" s="4">
        <v>9.9554664456054501E-2</v>
      </c>
      <c r="BZ154" s="4">
        <v>0.10172162470945099</v>
      </c>
      <c r="CA154" s="4">
        <v>9.7478103292056806E-2</v>
      </c>
      <c r="CB154" s="4">
        <v>1.6791656224094401E-2</v>
      </c>
      <c r="CC154" s="4">
        <v>0</v>
      </c>
      <c r="CD154" s="4">
        <v>3.2882814859558997E-2</v>
      </c>
      <c r="CE154" s="4">
        <v>4.34732316708758E-2</v>
      </c>
      <c r="CF154" s="4">
        <v>7.1071189378717994E-2</v>
      </c>
      <c r="CG154" s="4">
        <v>1.7026578073089702E-2</v>
      </c>
      <c r="CH154" s="4">
        <v>5.0972605116539102E-2</v>
      </c>
      <c r="CI154" s="4">
        <v>3.4314304849702597E-2</v>
      </c>
      <c r="CJ154" s="4">
        <v>6.6935971005738407E-2</v>
      </c>
      <c r="CK154" s="4">
        <v>4.22779587823639E-2</v>
      </c>
      <c r="CL154" s="4">
        <v>3.4314304849702597E-2</v>
      </c>
      <c r="CM154" s="4">
        <v>4.9909392932648698E-2</v>
      </c>
      <c r="CN154" s="4">
        <v>2.6083939002525501E-2</v>
      </c>
      <c r="CO154" s="4">
        <v>1.7767797344679499E-2</v>
      </c>
      <c r="CP154" s="4">
        <v>3.4053156146179403E-2</v>
      </c>
      <c r="CQ154" s="4">
        <v>8.3958281120471906E-2</v>
      </c>
      <c r="CR154" s="4">
        <v>6.8628609699405096E-2</v>
      </c>
      <c r="CS154" s="4">
        <v>9.8648444578677094E-2</v>
      </c>
      <c r="CT154" s="1">
        <f>Table1[[#This Row],[Female %]]*Table1[[#This Row],[NWS_pin]]</f>
        <v>0</v>
      </c>
      <c r="CU154" s="1">
        <f>Table1[[#This Row],[Male %]]*Table1[[#This Row],[NWS_pin]]</f>
        <v>0</v>
      </c>
      <c r="CV154" s="1">
        <f>Table1[[#This Row],[Female% (0-2)22]]+Table1[[#This Row],[Male%(0-2)3]]</f>
        <v>0</v>
      </c>
      <c r="CW154" s="1">
        <f>$CT154*Table1[[#This Row],[Female% (0-2)]]</f>
        <v>0</v>
      </c>
      <c r="CX154" s="1">
        <f>$CU154*Table1[[#This Row],[Male%(0-2)]]</f>
        <v>0</v>
      </c>
      <c r="CY154" s="1">
        <f>Table1[[#This Row],[Female%  (3-5)5]]+Table1[[#This Row],[Male% (3-5)6]]</f>
        <v>0</v>
      </c>
      <c r="CZ154" s="1">
        <f>$AF154*Table1[[#This Row],[Female%  (3-5)]]</f>
        <v>0</v>
      </c>
      <c r="DA154" s="1">
        <f>$CU154*Table1[[#This Row],[Male% (3-5)]]</f>
        <v>0</v>
      </c>
      <c r="DB154" s="1">
        <f>Table1[[#This Row],[Female% (6-8)8]]+Table1[[#This Row],[Male%(6-8)9]]</f>
        <v>0</v>
      </c>
      <c r="DC154" s="1">
        <f>$CT154*Table1[[#This Row],[Female% (6-8)]]</f>
        <v>0</v>
      </c>
      <c r="DD154" s="1">
        <f>$CU154*Table1[[#This Row],[Male%(6-8)]]</f>
        <v>0</v>
      </c>
      <c r="DE154" s="1">
        <f>Table1[[#This Row],[Female% (9 - 11)11]]+Table1[[#This Row],[Male% (9 - 11)12]]</f>
        <v>0</v>
      </c>
      <c r="DF154" s="1">
        <f>$CT154*Table1[[#This Row],[Female% (9 - 11)]]</f>
        <v>0</v>
      </c>
      <c r="DG154" s="1">
        <f>$CU154*Table1[[#This Row],[Male% (9 - 11)]]</f>
        <v>0</v>
      </c>
      <c r="DH154" s="1">
        <f>Table1[[#This Row],[Female% (12-14)14]]+Table1[[#This Row],[Male%(12-14)15]]</f>
        <v>0</v>
      </c>
      <c r="DI154" s="1">
        <f>$CT154*Table1[[#This Row],[Female% (12-14)]]</f>
        <v>0</v>
      </c>
      <c r="DJ154" s="1">
        <f>$CU154*Table1[[#This Row],[Male%(12-14)]]</f>
        <v>0</v>
      </c>
      <c r="DK154" s="1">
        <f>Table1[[#This Row],[Female% (15-17)17]]+Table1[[#This Row],[Male%(15-17)18]]</f>
        <v>0</v>
      </c>
      <c r="DL154" s="1">
        <f>$CT154*Table1[[#This Row],[Female% (15-17)]]</f>
        <v>0</v>
      </c>
      <c r="DM154" s="1">
        <f>$CU154*Table1[[#This Row],[Male%(15-17)]]</f>
        <v>0</v>
      </c>
      <c r="DN154" s="1">
        <f>$AF154*Table1[[#This Row],[Total% (18-19)]]</f>
        <v>0</v>
      </c>
      <c r="DO154" s="1">
        <f>$CT154*Table1[[#This Row],[Female% (18-19)]]</f>
        <v>0</v>
      </c>
      <c r="DP154" s="1">
        <f>$CU154*Table1[[#This Row],[Male%(18-19)]]</f>
        <v>0</v>
      </c>
      <c r="DQ154" s="1">
        <f>$AF154*Table1[[#This Row],[Total% (20-24)]]</f>
        <v>0</v>
      </c>
      <c r="DR154" s="1">
        <f>$CT154*Table1[[#This Row],[Female% (20-24)]]</f>
        <v>0</v>
      </c>
      <c r="DS154" s="1">
        <f>$CU154*Table1[[#This Row],[Male% (20-24)]]</f>
        <v>0</v>
      </c>
      <c r="DT154" s="1">
        <f>$AF154*Table1[[#This Row],[Total% (25-29)]]</f>
        <v>0</v>
      </c>
      <c r="DU154" s="1">
        <f>$CT154*Table1[[#This Row],[Female% (25-29)]]</f>
        <v>0</v>
      </c>
      <c r="DV154" s="1">
        <f>$CU154*Table1[[#This Row],[Male% (25-29)]]</f>
        <v>0</v>
      </c>
      <c r="DW154" s="1">
        <f>$AF154*Table1[[#This Row],[Total%   (30-34)]]</f>
        <v>0</v>
      </c>
      <c r="DX154" s="1">
        <f>$CT154*Table1[[#This Row],[Female%   (30-34)]]</f>
        <v>0</v>
      </c>
      <c r="DY154" s="1">
        <f>$CU154*Table1[[#This Row],[Male%  (30-34)]]</f>
        <v>0</v>
      </c>
      <c r="DZ154" s="1">
        <f>$AF154*Table1[[#This Row],[Total% (35-39)]]</f>
        <v>0</v>
      </c>
      <c r="EA154" s="1">
        <f>$CT154*Table1[[#This Row],[Female% (35-39)]]</f>
        <v>0</v>
      </c>
      <c r="EB154" s="1">
        <f>$CU154*Table1[[#This Row],[Male% (35-39)]]</f>
        <v>0</v>
      </c>
      <c r="EC154" s="1">
        <f>$AF154*Table1[[#This Row],[Total% (40-44)]]</f>
        <v>0</v>
      </c>
      <c r="ED154" s="1">
        <f>$CT154*Table1[[#This Row],[Female% (40-44)]]</f>
        <v>0</v>
      </c>
      <c r="EE154" s="1">
        <f>$CU154*Table1[[#This Row],[Male%(55-59)]]</f>
        <v>0</v>
      </c>
      <c r="EF154" s="1">
        <f>$AF154*Table1[[#This Row],[Total% (45-49)]]</f>
        <v>0</v>
      </c>
      <c r="EG154" s="1">
        <f>$CT154*Table1[[#This Row],[Female% (45-49)]]</f>
        <v>0</v>
      </c>
      <c r="EH154" s="1">
        <f>$CU154*Table1[[#This Row],[Male% (45-49)]]</f>
        <v>0</v>
      </c>
      <c r="EI154" s="1">
        <f>$AF154*Table1[[#This Row],[Total% (50-54)]]</f>
        <v>0</v>
      </c>
      <c r="EJ154" s="1">
        <f>$CT154*Table1[[#This Row],[Female%(50-54)]]</f>
        <v>0</v>
      </c>
      <c r="EK154" s="1">
        <f>$CU154*Table1[[#This Row],[Male% (50-54)]]</f>
        <v>0</v>
      </c>
      <c r="EL154" s="1">
        <f>$AF154*Table1[[#This Row],[Total% (55-59)]]</f>
        <v>0</v>
      </c>
      <c r="EM154" s="1">
        <f>$CT154*Table1[[#This Row],[Female% (55-59)]]</f>
        <v>0</v>
      </c>
      <c r="EN154" s="1">
        <f>$CU154*Table1[[#This Row],[Male% (55-59)]]</f>
        <v>0</v>
      </c>
      <c r="EO154" s="1">
        <f>$AF154*Table1[[#This Row],[Total% (60-64)]]</f>
        <v>0</v>
      </c>
      <c r="EP154" s="1">
        <f>$CT154*Table1[[#This Row],[Female%(60-64)]]</f>
        <v>0</v>
      </c>
      <c r="EQ154" s="1">
        <f>$CU154*Table1[[#This Row],[Male%(60-64)]]</f>
        <v>0</v>
      </c>
      <c r="ER154" s="1">
        <f>$AF154*Table1[[#This Row],[Total% (&gt;=65)]]</f>
        <v>0</v>
      </c>
      <c r="ES154" s="1">
        <f>$CT154*Table1[[#This Row],[Female%(&gt;=65)]]</f>
        <v>0</v>
      </c>
      <c r="ET154" s="1">
        <f>$CU154*Table1[[#This Row],[Male% (&gt;=65)]]</f>
        <v>0</v>
      </c>
    </row>
    <row r="155" spans="1:150" hidden="1" x14ac:dyDescent="0.35">
      <c r="A155" t="s">
        <v>192</v>
      </c>
      <c r="B155" t="s">
        <v>193</v>
      </c>
      <c r="C155" t="s">
        <v>229</v>
      </c>
      <c r="D155" t="s">
        <v>230</v>
      </c>
      <c r="E155" t="s">
        <v>591</v>
      </c>
      <c r="F155" t="s">
        <v>592</v>
      </c>
      <c r="H155">
        <v>3</v>
      </c>
      <c r="I155" s="1">
        <v>0</v>
      </c>
      <c r="J155" s="1">
        <v>1783</v>
      </c>
      <c r="K155" s="1">
        <v>1596</v>
      </c>
      <c r="L155" s="1">
        <v>0</v>
      </c>
      <c r="M155" s="1">
        <v>0</v>
      </c>
      <c r="N155" s="1">
        <v>1596</v>
      </c>
      <c r="O155" s="3">
        <v>1</v>
      </c>
      <c r="P155" s="3">
        <v>0</v>
      </c>
      <c r="Q155" s="3">
        <v>0</v>
      </c>
      <c r="R155" s="3">
        <v>0</v>
      </c>
      <c r="S155" s="3">
        <v>0</v>
      </c>
      <c r="T155" s="1">
        <v>3379</v>
      </c>
      <c r="U155" s="1">
        <v>0</v>
      </c>
      <c r="V155" s="10">
        <f>Table1[[#This Row],[Pop NW+RATAA]]*Table1[[#This Row],[Perc_pop_Northern_Aleppo]]</f>
        <v>0</v>
      </c>
      <c r="W155" s="10">
        <f>Table1[[#This Row],[Pop NW+RATAA]]*Table1[[#This Row],[Perc_pop_Afrin District]]</f>
        <v>0</v>
      </c>
      <c r="X155" s="10">
        <f>Table1[[#This Row],[Pop NW+RATAA]]*Table1[[#This Row],[Perc_pop_Euphrates Shiled]]</f>
        <v>0</v>
      </c>
      <c r="Y155" s="10">
        <f>Table1[[#This Row],[Pop NW+RATAA]]*Table1[[#This Row],[Perc_Pop_Idleb_NSAG]]</f>
        <v>0</v>
      </c>
      <c r="Z155" s="3">
        <v>0</v>
      </c>
      <c r="AA155" s="3">
        <v>0</v>
      </c>
      <c r="AB155" s="3">
        <v>0</v>
      </c>
      <c r="AC155" s="3">
        <v>0</v>
      </c>
      <c r="AD155" s="1">
        <v>1596</v>
      </c>
      <c r="AE155" s="1">
        <v>0</v>
      </c>
      <c r="AF155" s="1">
        <v>0</v>
      </c>
      <c r="AG155" s="1">
        <v>0</v>
      </c>
      <c r="AH155" s="1">
        <v>0</v>
      </c>
      <c r="AI155" s="1">
        <f>Table1[[#This Row],[NWS_pin]]*Table1[[#This Row],[Perc_pop_Northern_Aleppo]]</f>
        <v>0</v>
      </c>
      <c r="AJ155" s="1">
        <f>Table1[[#This Row],[NWS_pin]]*Table1[[#This Row],[Perc_pop_Afrin District]]</f>
        <v>0</v>
      </c>
      <c r="AK155" s="1">
        <f>Table1[[#This Row],[NWS_pin]]*Table1[[#This Row],[Perc_pop_Euphrates Shiled]]</f>
        <v>0</v>
      </c>
      <c r="AL155" s="1">
        <f>Table1[[#This Row],[NWS_pin]]*Table1[[#This Row],[Perc_Pop_Idleb_NSAG]]</f>
        <v>0</v>
      </c>
      <c r="AM155" s="4">
        <v>0.494535519125683</v>
      </c>
      <c r="AN155" s="4">
        <v>0.50546448087431695</v>
      </c>
      <c r="AO155" s="4">
        <v>0.13214285714285701</v>
      </c>
      <c r="AP155" s="4">
        <v>0.42560553633218001</v>
      </c>
      <c r="AQ155" s="4">
        <v>0.51557093425605505</v>
      </c>
      <c r="AR155" s="4">
        <v>1.3840830449827E-2</v>
      </c>
      <c r="AS155" s="4">
        <v>0</v>
      </c>
      <c r="AT155" s="4">
        <v>4.4982698961937698E-2</v>
      </c>
      <c r="AU155" s="4">
        <v>7.3770491803278701E-2</v>
      </c>
      <c r="AV155" s="4">
        <v>9.3922651933701695E-2</v>
      </c>
      <c r="AW155" s="4">
        <v>5.4054054054054099E-2</v>
      </c>
      <c r="AX155" s="4">
        <v>8.1967213114754106E-2</v>
      </c>
      <c r="AY155" s="4">
        <v>6.0773480662983402E-2</v>
      </c>
      <c r="AZ155" s="4">
        <v>0.102702702702703</v>
      </c>
      <c r="BA155" s="4">
        <v>7.9234972677595605E-2</v>
      </c>
      <c r="BB155" s="4">
        <v>7.18232044198895E-2</v>
      </c>
      <c r="BC155" s="4">
        <v>8.6486486486486505E-2</v>
      </c>
      <c r="BD155" s="4">
        <v>9.0163934426229497E-2</v>
      </c>
      <c r="BE155" s="4">
        <v>7.18232044198895E-2</v>
      </c>
      <c r="BF155" s="4">
        <v>0.108108108108108</v>
      </c>
      <c r="BG155" s="4">
        <v>6.5573770491803296E-2</v>
      </c>
      <c r="BH155" s="4">
        <v>6.6298342541436503E-2</v>
      </c>
      <c r="BI155" s="4">
        <v>6.4864864864864896E-2</v>
      </c>
      <c r="BJ155" s="4">
        <v>7.6502732240437202E-2</v>
      </c>
      <c r="BK155" s="4">
        <v>7.18232044198895E-2</v>
      </c>
      <c r="BL155" s="4">
        <v>8.1081081081081099E-2</v>
      </c>
      <c r="BM155" s="4">
        <v>3.2786885245901599E-2</v>
      </c>
      <c r="BN155" s="4">
        <v>3.3149171270718203E-2</v>
      </c>
      <c r="BO155" s="4">
        <v>3.24324324324324E-2</v>
      </c>
      <c r="BP155" s="4">
        <v>7.9234972677595605E-2</v>
      </c>
      <c r="BQ155" s="4">
        <v>9.9447513812154706E-2</v>
      </c>
      <c r="BR155" s="4">
        <v>5.9459459459459497E-2</v>
      </c>
      <c r="BS155" s="4">
        <v>8.1967213114754106E-2</v>
      </c>
      <c r="BT155" s="4">
        <v>8.2872928176795604E-2</v>
      </c>
      <c r="BU155" s="4">
        <v>8.1081081081081099E-2</v>
      </c>
      <c r="BV155" s="4">
        <v>7.6502732240437202E-2</v>
      </c>
      <c r="BW155" s="4">
        <v>8.8397790055248601E-2</v>
      </c>
      <c r="BX155" s="4">
        <v>6.4864864864864896E-2</v>
      </c>
      <c r="BY155" s="4">
        <v>6.8306010928961797E-2</v>
      </c>
      <c r="BZ155" s="4">
        <v>7.18232044198895E-2</v>
      </c>
      <c r="CA155" s="4">
        <v>6.4864864864864896E-2</v>
      </c>
      <c r="CB155" s="4">
        <v>5.1912568306010903E-2</v>
      </c>
      <c r="CC155" s="4">
        <v>4.4198895027624301E-2</v>
      </c>
      <c r="CD155" s="4">
        <v>5.9459459459459497E-2</v>
      </c>
      <c r="CE155" s="4">
        <v>3.8251366120218601E-2</v>
      </c>
      <c r="CF155" s="4">
        <v>5.5248618784530398E-2</v>
      </c>
      <c r="CG155" s="4">
        <v>2.1621621621621599E-2</v>
      </c>
      <c r="CH155" s="4">
        <v>4.0983606557376998E-2</v>
      </c>
      <c r="CI155" s="4">
        <v>3.3149171270718203E-2</v>
      </c>
      <c r="CJ155" s="4">
        <v>4.8648648648648603E-2</v>
      </c>
      <c r="CK155" s="4">
        <v>3.2786885245901599E-2</v>
      </c>
      <c r="CL155" s="4">
        <v>3.3149171270718203E-2</v>
      </c>
      <c r="CM155" s="4">
        <v>3.24324324324324E-2</v>
      </c>
      <c r="CN155" s="4">
        <v>1.63934426229508E-2</v>
      </c>
      <c r="CO155" s="4">
        <v>5.5248618784530402E-3</v>
      </c>
      <c r="CP155" s="4">
        <v>2.7027027027027001E-2</v>
      </c>
      <c r="CQ155" s="4">
        <v>1.3661202185792301E-2</v>
      </c>
      <c r="CR155" s="4">
        <v>1.6574585635359101E-2</v>
      </c>
      <c r="CS155" s="4">
        <v>1.0810810810810799E-2</v>
      </c>
      <c r="CT155" s="1">
        <f>Table1[[#This Row],[Female %]]*Table1[[#This Row],[NWS_pin]]</f>
        <v>0</v>
      </c>
      <c r="CU155" s="1">
        <f>Table1[[#This Row],[Male %]]*Table1[[#This Row],[NWS_pin]]</f>
        <v>0</v>
      </c>
      <c r="CV155" s="1">
        <f>Table1[[#This Row],[Female% (0-2)22]]+Table1[[#This Row],[Male%(0-2)3]]</f>
        <v>0</v>
      </c>
      <c r="CW155" s="1">
        <f>$CT155*Table1[[#This Row],[Female% (0-2)]]</f>
        <v>0</v>
      </c>
      <c r="CX155" s="1">
        <f>$CU155*Table1[[#This Row],[Male%(0-2)]]</f>
        <v>0</v>
      </c>
      <c r="CY155" s="1">
        <f>Table1[[#This Row],[Female%  (3-5)5]]+Table1[[#This Row],[Male% (3-5)6]]</f>
        <v>0</v>
      </c>
      <c r="CZ155" s="1">
        <f>$AF155*Table1[[#This Row],[Female%  (3-5)]]</f>
        <v>0</v>
      </c>
      <c r="DA155" s="1">
        <f>$CU155*Table1[[#This Row],[Male% (3-5)]]</f>
        <v>0</v>
      </c>
      <c r="DB155" s="1">
        <f>Table1[[#This Row],[Female% (6-8)8]]+Table1[[#This Row],[Male%(6-8)9]]</f>
        <v>0</v>
      </c>
      <c r="DC155" s="1">
        <f>$CT155*Table1[[#This Row],[Female% (6-8)]]</f>
        <v>0</v>
      </c>
      <c r="DD155" s="1">
        <f>$CU155*Table1[[#This Row],[Male%(6-8)]]</f>
        <v>0</v>
      </c>
      <c r="DE155" s="1">
        <f>Table1[[#This Row],[Female% (9 - 11)11]]+Table1[[#This Row],[Male% (9 - 11)12]]</f>
        <v>0</v>
      </c>
      <c r="DF155" s="1">
        <f>$CT155*Table1[[#This Row],[Female% (9 - 11)]]</f>
        <v>0</v>
      </c>
      <c r="DG155" s="1">
        <f>$CU155*Table1[[#This Row],[Male% (9 - 11)]]</f>
        <v>0</v>
      </c>
      <c r="DH155" s="1">
        <f>Table1[[#This Row],[Female% (12-14)14]]+Table1[[#This Row],[Male%(12-14)15]]</f>
        <v>0</v>
      </c>
      <c r="DI155" s="1">
        <f>$CT155*Table1[[#This Row],[Female% (12-14)]]</f>
        <v>0</v>
      </c>
      <c r="DJ155" s="1">
        <f>$CU155*Table1[[#This Row],[Male%(12-14)]]</f>
        <v>0</v>
      </c>
      <c r="DK155" s="1">
        <f>Table1[[#This Row],[Female% (15-17)17]]+Table1[[#This Row],[Male%(15-17)18]]</f>
        <v>0</v>
      </c>
      <c r="DL155" s="1">
        <f>$CT155*Table1[[#This Row],[Female% (15-17)]]</f>
        <v>0</v>
      </c>
      <c r="DM155" s="1">
        <f>$CU155*Table1[[#This Row],[Male%(15-17)]]</f>
        <v>0</v>
      </c>
      <c r="DN155" s="1">
        <f>$AF155*Table1[[#This Row],[Total% (18-19)]]</f>
        <v>0</v>
      </c>
      <c r="DO155" s="1">
        <f>$CT155*Table1[[#This Row],[Female% (18-19)]]</f>
        <v>0</v>
      </c>
      <c r="DP155" s="1">
        <f>$CU155*Table1[[#This Row],[Male%(18-19)]]</f>
        <v>0</v>
      </c>
      <c r="DQ155" s="1">
        <f>$AF155*Table1[[#This Row],[Total% (20-24)]]</f>
        <v>0</v>
      </c>
      <c r="DR155" s="1">
        <f>$CT155*Table1[[#This Row],[Female% (20-24)]]</f>
        <v>0</v>
      </c>
      <c r="DS155" s="1">
        <f>$CU155*Table1[[#This Row],[Male% (20-24)]]</f>
        <v>0</v>
      </c>
      <c r="DT155" s="1">
        <f>$AF155*Table1[[#This Row],[Total% (25-29)]]</f>
        <v>0</v>
      </c>
      <c r="DU155" s="1">
        <f>$CT155*Table1[[#This Row],[Female% (25-29)]]</f>
        <v>0</v>
      </c>
      <c r="DV155" s="1">
        <f>$CU155*Table1[[#This Row],[Male% (25-29)]]</f>
        <v>0</v>
      </c>
      <c r="DW155" s="1">
        <f>$AF155*Table1[[#This Row],[Total%   (30-34)]]</f>
        <v>0</v>
      </c>
      <c r="DX155" s="1">
        <f>$CT155*Table1[[#This Row],[Female%   (30-34)]]</f>
        <v>0</v>
      </c>
      <c r="DY155" s="1">
        <f>$CU155*Table1[[#This Row],[Male%  (30-34)]]</f>
        <v>0</v>
      </c>
      <c r="DZ155" s="1">
        <f>$AF155*Table1[[#This Row],[Total% (35-39)]]</f>
        <v>0</v>
      </c>
      <c r="EA155" s="1">
        <f>$CT155*Table1[[#This Row],[Female% (35-39)]]</f>
        <v>0</v>
      </c>
      <c r="EB155" s="1">
        <f>$CU155*Table1[[#This Row],[Male% (35-39)]]</f>
        <v>0</v>
      </c>
      <c r="EC155" s="1">
        <f>$AF155*Table1[[#This Row],[Total% (40-44)]]</f>
        <v>0</v>
      </c>
      <c r="ED155" s="1">
        <f>$CT155*Table1[[#This Row],[Female% (40-44)]]</f>
        <v>0</v>
      </c>
      <c r="EE155" s="1">
        <f>$CU155*Table1[[#This Row],[Male%(55-59)]]</f>
        <v>0</v>
      </c>
      <c r="EF155" s="1">
        <f>$AF155*Table1[[#This Row],[Total% (45-49)]]</f>
        <v>0</v>
      </c>
      <c r="EG155" s="1">
        <f>$CT155*Table1[[#This Row],[Female% (45-49)]]</f>
        <v>0</v>
      </c>
      <c r="EH155" s="1">
        <f>$CU155*Table1[[#This Row],[Male% (45-49)]]</f>
        <v>0</v>
      </c>
      <c r="EI155" s="1">
        <f>$AF155*Table1[[#This Row],[Total% (50-54)]]</f>
        <v>0</v>
      </c>
      <c r="EJ155" s="1">
        <f>$CT155*Table1[[#This Row],[Female%(50-54)]]</f>
        <v>0</v>
      </c>
      <c r="EK155" s="1">
        <f>$CU155*Table1[[#This Row],[Male% (50-54)]]</f>
        <v>0</v>
      </c>
      <c r="EL155" s="1">
        <f>$AF155*Table1[[#This Row],[Total% (55-59)]]</f>
        <v>0</v>
      </c>
      <c r="EM155" s="1">
        <f>$CT155*Table1[[#This Row],[Female% (55-59)]]</f>
        <v>0</v>
      </c>
      <c r="EN155" s="1">
        <f>$CU155*Table1[[#This Row],[Male% (55-59)]]</f>
        <v>0</v>
      </c>
      <c r="EO155" s="1">
        <f>$AF155*Table1[[#This Row],[Total% (60-64)]]</f>
        <v>0</v>
      </c>
      <c r="EP155" s="1">
        <f>$CT155*Table1[[#This Row],[Female%(60-64)]]</f>
        <v>0</v>
      </c>
      <c r="EQ155" s="1">
        <f>$CU155*Table1[[#This Row],[Male%(60-64)]]</f>
        <v>0</v>
      </c>
      <c r="ER155" s="1">
        <f>$AF155*Table1[[#This Row],[Total% (&gt;=65)]]</f>
        <v>0</v>
      </c>
      <c r="ES155" s="1">
        <f>$CT155*Table1[[#This Row],[Female%(&gt;=65)]]</f>
        <v>0</v>
      </c>
      <c r="ET155" s="1">
        <f>$CU155*Table1[[#This Row],[Male% (&gt;=65)]]</f>
        <v>0</v>
      </c>
    </row>
    <row r="156" spans="1:150" hidden="1" x14ac:dyDescent="0.35">
      <c r="A156" t="s">
        <v>192</v>
      </c>
      <c r="B156" t="s">
        <v>193</v>
      </c>
      <c r="C156" t="s">
        <v>229</v>
      </c>
      <c r="D156" t="s">
        <v>230</v>
      </c>
      <c r="E156" t="s">
        <v>231</v>
      </c>
      <c r="F156" t="s">
        <v>232</v>
      </c>
      <c r="H156">
        <v>3</v>
      </c>
      <c r="I156" s="1">
        <v>0</v>
      </c>
      <c r="J156" s="1">
        <v>3553</v>
      </c>
      <c r="K156" s="1">
        <v>10112</v>
      </c>
      <c r="L156" s="1">
        <v>0</v>
      </c>
      <c r="M156" s="1">
        <v>0</v>
      </c>
      <c r="N156" s="1">
        <v>10112</v>
      </c>
      <c r="O156" s="3">
        <v>1</v>
      </c>
      <c r="P156" s="3">
        <v>0</v>
      </c>
      <c r="Q156" s="3">
        <v>0</v>
      </c>
      <c r="R156" s="3">
        <v>0</v>
      </c>
      <c r="S156" s="3">
        <v>0</v>
      </c>
      <c r="T156" s="1">
        <v>13665</v>
      </c>
      <c r="U156" s="1">
        <v>0</v>
      </c>
      <c r="V156" s="10">
        <f>Table1[[#This Row],[Pop NW+RATAA]]*Table1[[#This Row],[Perc_pop_Northern_Aleppo]]</f>
        <v>0</v>
      </c>
      <c r="W156" s="10">
        <f>Table1[[#This Row],[Pop NW+RATAA]]*Table1[[#This Row],[Perc_pop_Afrin District]]</f>
        <v>0</v>
      </c>
      <c r="X156" s="10">
        <f>Table1[[#This Row],[Pop NW+RATAA]]*Table1[[#This Row],[Perc_pop_Euphrates Shiled]]</f>
        <v>0</v>
      </c>
      <c r="Y156" s="10">
        <f>Table1[[#This Row],[Pop NW+RATAA]]*Table1[[#This Row],[Perc_Pop_Idleb_NSAG]]</f>
        <v>0</v>
      </c>
      <c r="Z156" s="3">
        <v>0</v>
      </c>
      <c r="AA156" s="3">
        <v>0</v>
      </c>
      <c r="AB156" s="3">
        <v>0</v>
      </c>
      <c r="AC156" s="3">
        <v>0</v>
      </c>
      <c r="AD156" s="1">
        <v>10112</v>
      </c>
      <c r="AE156" s="1">
        <v>0</v>
      </c>
      <c r="AF156" s="1">
        <v>0</v>
      </c>
      <c r="AG156" s="1">
        <v>0</v>
      </c>
      <c r="AH156" s="1">
        <v>0</v>
      </c>
      <c r="AI156" s="1">
        <f>Table1[[#This Row],[NWS_pin]]*Table1[[#This Row],[Perc_pop_Northern_Aleppo]]</f>
        <v>0</v>
      </c>
      <c r="AJ156" s="1">
        <f>Table1[[#This Row],[NWS_pin]]*Table1[[#This Row],[Perc_pop_Afrin District]]</f>
        <v>0</v>
      </c>
      <c r="AK156" s="1">
        <f>Table1[[#This Row],[NWS_pin]]*Table1[[#This Row],[Perc_pop_Euphrates Shiled]]</f>
        <v>0</v>
      </c>
      <c r="AL156" s="1">
        <f>Table1[[#This Row],[NWS_pin]]*Table1[[#This Row],[Perc_Pop_Idleb_NSAG]]</f>
        <v>0</v>
      </c>
      <c r="AM156" s="4">
        <v>0.50892983741369402</v>
      </c>
      <c r="AN156" s="4">
        <v>0.49107016258630598</v>
      </c>
      <c r="AO156" s="4">
        <v>0.119661762683899</v>
      </c>
      <c r="AP156" s="4">
        <v>0.450950931250168</v>
      </c>
      <c r="AQ156" s="4">
        <v>0.49421329911308198</v>
      </c>
      <c r="AR156" s="4">
        <v>4.0973896626318798E-3</v>
      </c>
      <c r="AS156" s="4">
        <v>0</v>
      </c>
      <c r="AT156" s="4">
        <v>5.0738379974117898E-2</v>
      </c>
      <c r="AU156" s="4">
        <v>6.8463962819619195E-2</v>
      </c>
      <c r="AV156" s="4">
        <v>7.6142975086331902E-2</v>
      </c>
      <c r="AW156" s="4">
        <v>6.0505673430149197E-2</v>
      </c>
      <c r="AX156" s="4">
        <v>0.102859687775891</v>
      </c>
      <c r="AY156" s="4">
        <v>0.105279916582834</v>
      </c>
      <c r="AZ156" s="4">
        <v>0.100351437943048</v>
      </c>
      <c r="BA156" s="4">
        <v>9.6047709121319505E-2</v>
      </c>
      <c r="BB156" s="4">
        <v>8.8591128704610098E-2</v>
      </c>
      <c r="BC156" s="4">
        <v>0.103775477062161</v>
      </c>
      <c r="BD156" s="4">
        <v>7.2738559697615099E-2</v>
      </c>
      <c r="BE156" s="4">
        <v>7.0315121170671305E-2</v>
      </c>
      <c r="BF156" s="4">
        <v>7.5250135984400404E-2</v>
      </c>
      <c r="BG156" s="4">
        <v>7.7218640000672994E-2</v>
      </c>
      <c r="BH156" s="4">
        <v>5.8743590125633897E-2</v>
      </c>
      <c r="BI156" s="4">
        <v>9.6365606860955397E-2</v>
      </c>
      <c r="BJ156" s="4">
        <v>8.5916309918497094E-2</v>
      </c>
      <c r="BK156" s="4">
        <v>8.6297635546909002E-2</v>
      </c>
      <c r="BL156" s="4">
        <v>8.5521115901725106E-2</v>
      </c>
      <c r="BM156" s="4">
        <v>2.7537300954223399E-2</v>
      </c>
      <c r="BN156" s="4">
        <v>3.2010659155786998E-2</v>
      </c>
      <c r="BO156" s="4">
        <v>2.2901251697586101E-2</v>
      </c>
      <c r="BP156" s="4">
        <v>9.2285602123391902E-2</v>
      </c>
      <c r="BQ156" s="4">
        <v>0.125694732867912</v>
      </c>
      <c r="BR156" s="4">
        <v>5.7661418506955602E-2</v>
      </c>
      <c r="BS156" s="4">
        <v>9.4306617932226999E-2</v>
      </c>
      <c r="BT156" s="4">
        <v>8.8383796391020897E-2</v>
      </c>
      <c r="BU156" s="4">
        <v>0.10044484589566301</v>
      </c>
      <c r="BV156" s="4">
        <v>6.6288563623634902E-2</v>
      </c>
      <c r="BW156" s="4">
        <v>5.6927120929082899E-2</v>
      </c>
      <c r="BX156" s="4">
        <v>7.5990471561604198E-2</v>
      </c>
      <c r="BY156" s="4">
        <v>5.7354452357813099E-2</v>
      </c>
      <c r="BZ156" s="4">
        <v>6.9776569333335897E-2</v>
      </c>
      <c r="CA156" s="4">
        <v>4.4480556824452198E-2</v>
      </c>
      <c r="CB156" s="4">
        <v>3.6263525282103401E-2</v>
      </c>
      <c r="CC156" s="4">
        <v>2.7067941941098701E-2</v>
      </c>
      <c r="CD156" s="4">
        <v>4.5793541746581901E-2</v>
      </c>
      <c r="CE156" s="4">
        <v>3.4866441105445997E-2</v>
      </c>
      <c r="CF156" s="4">
        <v>4.5219530131897098E-2</v>
      </c>
      <c r="CG156" s="4">
        <v>2.41368217630465E-2</v>
      </c>
      <c r="CH156" s="4">
        <v>2.25978619466548E-2</v>
      </c>
      <c r="CI156" s="4">
        <v>2.2202683333781201E-2</v>
      </c>
      <c r="CJ156" s="4">
        <v>2.3007412765502999E-2</v>
      </c>
      <c r="CK156" s="4">
        <v>2.7946964491025399E-2</v>
      </c>
      <c r="CL156" s="4">
        <v>2.31680390819748E-2</v>
      </c>
      <c r="CM156" s="4">
        <v>3.2899694094125402E-2</v>
      </c>
      <c r="CN156" s="4">
        <v>2.4099600490458801E-2</v>
      </c>
      <c r="CO156" s="4">
        <v>2.2062333259455499E-2</v>
      </c>
      <c r="CP156" s="4">
        <v>2.6210960861412998E-2</v>
      </c>
      <c r="CQ156" s="4">
        <v>1.32082003594064E-2</v>
      </c>
      <c r="CR156" s="4">
        <v>2.1162263576641402E-3</v>
      </c>
      <c r="CS156" s="4">
        <v>2.4703577100630199E-2</v>
      </c>
      <c r="CT156" s="1">
        <f>Table1[[#This Row],[Female %]]*Table1[[#This Row],[NWS_pin]]</f>
        <v>0</v>
      </c>
      <c r="CU156" s="1">
        <f>Table1[[#This Row],[Male %]]*Table1[[#This Row],[NWS_pin]]</f>
        <v>0</v>
      </c>
      <c r="CV156" s="1">
        <f>Table1[[#This Row],[Female% (0-2)22]]+Table1[[#This Row],[Male%(0-2)3]]</f>
        <v>0</v>
      </c>
      <c r="CW156" s="1">
        <f>$CT156*Table1[[#This Row],[Female% (0-2)]]</f>
        <v>0</v>
      </c>
      <c r="CX156" s="1">
        <f>$CU156*Table1[[#This Row],[Male%(0-2)]]</f>
        <v>0</v>
      </c>
      <c r="CY156" s="1">
        <f>Table1[[#This Row],[Female%  (3-5)5]]+Table1[[#This Row],[Male% (3-5)6]]</f>
        <v>0</v>
      </c>
      <c r="CZ156" s="1">
        <f>$AF156*Table1[[#This Row],[Female%  (3-5)]]</f>
        <v>0</v>
      </c>
      <c r="DA156" s="1">
        <f>$CU156*Table1[[#This Row],[Male% (3-5)]]</f>
        <v>0</v>
      </c>
      <c r="DB156" s="1">
        <f>Table1[[#This Row],[Female% (6-8)8]]+Table1[[#This Row],[Male%(6-8)9]]</f>
        <v>0</v>
      </c>
      <c r="DC156" s="1">
        <f>$CT156*Table1[[#This Row],[Female% (6-8)]]</f>
        <v>0</v>
      </c>
      <c r="DD156" s="1">
        <f>$CU156*Table1[[#This Row],[Male%(6-8)]]</f>
        <v>0</v>
      </c>
      <c r="DE156" s="1">
        <f>Table1[[#This Row],[Female% (9 - 11)11]]+Table1[[#This Row],[Male% (9 - 11)12]]</f>
        <v>0</v>
      </c>
      <c r="DF156" s="1">
        <f>$CT156*Table1[[#This Row],[Female% (9 - 11)]]</f>
        <v>0</v>
      </c>
      <c r="DG156" s="1">
        <f>$CU156*Table1[[#This Row],[Male% (9 - 11)]]</f>
        <v>0</v>
      </c>
      <c r="DH156" s="1">
        <f>Table1[[#This Row],[Female% (12-14)14]]+Table1[[#This Row],[Male%(12-14)15]]</f>
        <v>0</v>
      </c>
      <c r="DI156" s="1">
        <f>$CT156*Table1[[#This Row],[Female% (12-14)]]</f>
        <v>0</v>
      </c>
      <c r="DJ156" s="1">
        <f>$CU156*Table1[[#This Row],[Male%(12-14)]]</f>
        <v>0</v>
      </c>
      <c r="DK156" s="1">
        <f>Table1[[#This Row],[Female% (15-17)17]]+Table1[[#This Row],[Male%(15-17)18]]</f>
        <v>0</v>
      </c>
      <c r="DL156" s="1">
        <f>$CT156*Table1[[#This Row],[Female% (15-17)]]</f>
        <v>0</v>
      </c>
      <c r="DM156" s="1">
        <f>$CU156*Table1[[#This Row],[Male%(15-17)]]</f>
        <v>0</v>
      </c>
      <c r="DN156" s="1">
        <f>$AF156*Table1[[#This Row],[Total% (18-19)]]</f>
        <v>0</v>
      </c>
      <c r="DO156" s="1">
        <f>$CT156*Table1[[#This Row],[Female% (18-19)]]</f>
        <v>0</v>
      </c>
      <c r="DP156" s="1">
        <f>$CU156*Table1[[#This Row],[Male%(18-19)]]</f>
        <v>0</v>
      </c>
      <c r="DQ156" s="1">
        <f>$AF156*Table1[[#This Row],[Total% (20-24)]]</f>
        <v>0</v>
      </c>
      <c r="DR156" s="1">
        <f>$CT156*Table1[[#This Row],[Female% (20-24)]]</f>
        <v>0</v>
      </c>
      <c r="DS156" s="1">
        <f>$CU156*Table1[[#This Row],[Male% (20-24)]]</f>
        <v>0</v>
      </c>
      <c r="DT156" s="1">
        <f>$AF156*Table1[[#This Row],[Total% (25-29)]]</f>
        <v>0</v>
      </c>
      <c r="DU156" s="1">
        <f>$CT156*Table1[[#This Row],[Female% (25-29)]]</f>
        <v>0</v>
      </c>
      <c r="DV156" s="1">
        <f>$CU156*Table1[[#This Row],[Male% (25-29)]]</f>
        <v>0</v>
      </c>
      <c r="DW156" s="1">
        <f>$AF156*Table1[[#This Row],[Total%   (30-34)]]</f>
        <v>0</v>
      </c>
      <c r="DX156" s="1">
        <f>$CT156*Table1[[#This Row],[Female%   (30-34)]]</f>
        <v>0</v>
      </c>
      <c r="DY156" s="1">
        <f>$CU156*Table1[[#This Row],[Male%  (30-34)]]</f>
        <v>0</v>
      </c>
      <c r="DZ156" s="1">
        <f>$AF156*Table1[[#This Row],[Total% (35-39)]]</f>
        <v>0</v>
      </c>
      <c r="EA156" s="1">
        <f>$CT156*Table1[[#This Row],[Female% (35-39)]]</f>
        <v>0</v>
      </c>
      <c r="EB156" s="1">
        <f>$CU156*Table1[[#This Row],[Male% (35-39)]]</f>
        <v>0</v>
      </c>
      <c r="EC156" s="1">
        <f>$AF156*Table1[[#This Row],[Total% (40-44)]]</f>
        <v>0</v>
      </c>
      <c r="ED156" s="1">
        <f>$CT156*Table1[[#This Row],[Female% (40-44)]]</f>
        <v>0</v>
      </c>
      <c r="EE156" s="1">
        <f>$CU156*Table1[[#This Row],[Male%(55-59)]]</f>
        <v>0</v>
      </c>
      <c r="EF156" s="1">
        <f>$AF156*Table1[[#This Row],[Total% (45-49)]]</f>
        <v>0</v>
      </c>
      <c r="EG156" s="1">
        <f>$CT156*Table1[[#This Row],[Female% (45-49)]]</f>
        <v>0</v>
      </c>
      <c r="EH156" s="1">
        <f>$CU156*Table1[[#This Row],[Male% (45-49)]]</f>
        <v>0</v>
      </c>
      <c r="EI156" s="1">
        <f>$AF156*Table1[[#This Row],[Total% (50-54)]]</f>
        <v>0</v>
      </c>
      <c r="EJ156" s="1">
        <f>$CT156*Table1[[#This Row],[Female%(50-54)]]</f>
        <v>0</v>
      </c>
      <c r="EK156" s="1">
        <f>$CU156*Table1[[#This Row],[Male% (50-54)]]</f>
        <v>0</v>
      </c>
      <c r="EL156" s="1">
        <f>$AF156*Table1[[#This Row],[Total% (55-59)]]</f>
        <v>0</v>
      </c>
      <c r="EM156" s="1">
        <f>$CT156*Table1[[#This Row],[Female% (55-59)]]</f>
        <v>0</v>
      </c>
      <c r="EN156" s="1">
        <f>$CU156*Table1[[#This Row],[Male% (55-59)]]</f>
        <v>0</v>
      </c>
      <c r="EO156" s="1">
        <f>$AF156*Table1[[#This Row],[Total% (60-64)]]</f>
        <v>0</v>
      </c>
      <c r="EP156" s="1">
        <f>$CT156*Table1[[#This Row],[Female%(60-64)]]</f>
        <v>0</v>
      </c>
      <c r="EQ156" s="1">
        <f>$CU156*Table1[[#This Row],[Male%(60-64)]]</f>
        <v>0</v>
      </c>
      <c r="ER156" s="1">
        <f>$AF156*Table1[[#This Row],[Total% (&gt;=65)]]</f>
        <v>0</v>
      </c>
      <c r="ES156" s="1">
        <f>$CT156*Table1[[#This Row],[Female%(&gt;=65)]]</f>
        <v>0</v>
      </c>
      <c r="ET156" s="1">
        <f>$CU156*Table1[[#This Row],[Male% (&gt;=65)]]</f>
        <v>0</v>
      </c>
    </row>
    <row r="157" spans="1:150" x14ac:dyDescent="0.35">
      <c r="A157" t="s">
        <v>192</v>
      </c>
      <c r="B157" t="s">
        <v>193</v>
      </c>
      <c r="C157" t="s">
        <v>229</v>
      </c>
      <c r="D157" t="s">
        <v>230</v>
      </c>
      <c r="E157" t="s">
        <v>620</v>
      </c>
      <c r="F157" t="s">
        <v>621</v>
      </c>
      <c r="G157" t="s">
        <v>1143</v>
      </c>
      <c r="H157">
        <v>3</v>
      </c>
      <c r="I157" s="1">
        <v>0</v>
      </c>
      <c r="J157" s="1">
        <v>247</v>
      </c>
      <c r="K157" s="1">
        <v>247</v>
      </c>
      <c r="L157" s="1">
        <v>0</v>
      </c>
      <c r="M157" s="1">
        <v>0</v>
      </c>
      <c r="N157" s="1">
        <v>247</v>
      </c>
      <c r="O157" s="3">
        <v>0.63</v>
      </c>
      <c r="P157" s="3">
        <v>0</v>
      </c>
      <c r="Q157" s="3">
        <v>0.37</v>
      </c>
      <c r="R157" s="3">
        <v>0</v>
      </c>
      <c r="S157" s="3">
        <v>0</v>
      </c>
      <c r="T157" s="1">
        <v>494</v>
      </c>
      <c r="U157" s="1">
        <v>493.5</v>
      </c>
      <c r="V157" s="10">
        <f>Table1[[#This Row],[Pop NW+RATAA]]*Table1[[#This Row],[Perc_pop_Northern_Aleppo]]</f>
        <v>0</v>
      </c>
      <c r="W157" s="10">
        <f>Table1[[#This Row],[Pop NW+RATAA]]*Table1[[#This Row],[Perc_pop_Afrin District]]</f>
        <v>0</v>
      </c>
      <c r="X157" s="10">
        <f>Table1[[#This Row],[Pop NW+RATAA]]*Table1[[#This Row],[Perc_pop_Euphrates Shiled]]</f>
        <v>0</v>
      </c>
      <c r="Y157" s="10">
        <f>Table1[[#This Row],[Pop NW+RATAA]]*Table1[[#This Row],[Perc_Pop_Idleb_NSAG]]</f>
        <v>493.5</v>
      </c>
      <c r="Z157" s="3">
        <v>0</v>
      </c>
      <c r="AA157" s="3">
        <v>0</v>
      </c>
      <c r="AB157" s="3">
        <v>0</v>
      </c>
      <c r="AC157" s="3">
        <v>1</v>
      </c>
      <c r="AD157" s="1">
        <v>155.61000000000001</v>
      </c>
      <c r="AE157" s="1">
        <v>0</v>
      </c>
      <c r="AF157" s="1">
        <v>91.39</v>
      </c>
      <c r="AG157" s="1">
        <v>0</v>
      </c>
      <c r="AH157" s="1">
        <v>0</v>
      </c>
      <c r="AI157" s="1">
        <f>Table1[[#This Row],[NWS_pin]]*Table1[[#This Row],[Perc_pop_Northern_Aleppo]]</f>
        <v>0</v>
      </c>
      <c r="AJ157" s="1">
        <f>Table1[[#This Row],[NWS_pin]]*Table1[[#This Row],[Perc_pop_Afrin District]]</f>
        <v>0</v>
      </c>
      <c r="AK157" s="1">
        <f>Table1[[#This Row],[NWS_pin]]*Table1[[#This Row],[Perc_pop_Euphrates Shiled]]</f>
        <v>0</v>
      </c>
      <c r="AL157" s="1">
        <f>Table1[[#This Row],[NWS_pin]]*Table1[[#This Row],[Perc_Pop_Idleb_NSAG]]</f>
        <v>91.39</v>
      </c>
      <c r="AM157" s="4">
        <v>0.47368421052631599</v>
      </c>
      <c r="AN157" s="4">
        <v>0.52631578947368396</v>
      </c>
      <c r="AO157" s="4">
        <v>0.15992907801418399</v>
      </c>
      <c r="AP157" s="4">
        <v>0.38650306748466301</v>
      </c>
      <c r="AQ157" s="4">
        <v>0.57668711656441696</v>
      </c>
      <c r="AR157" s="4">
        <v>6.1349693251533796E-3</v>
      </c>
      <c r="AS157" s="4">
        <v>0</v>
      </c>
      <c r="AT157" s="4">
        <v>3.0674846625766899E-2</v>
      </c>
      <c r="AU157" s="4">
        <v>4.7846889952153103E-2</v>
      </c>
      <c r="AV157" s="4">
        <v>3.03030303030303E-2</v>
      </c>
      <c r="AW157" s="4">
        <v>6.3636363636363602E-2</v>
      </c>
      <c r="AX157" s="4">
        <v>9.5693779904306206E-2</v>
      </c>
      <c r="AY157" s="4">
        <v>0.14141414141414099</v>
      </c>
      <c r="AZ157" s="4">
        <v>5.4545454545454501E-2</v>
      </c>
      <c r="BA157" s="4">
        <v>9.0909090909090898E-2</v>
      </c>
      <c r="BB157" s="4">
        <v>8.0808080808080801E-2</v>
      </c>
      <c r="BC157" s="4">
        <v>0.1</v>
      </c>
      <c r="BD157" s="4">
        <v>9.0909090909090898E-2</v>
      </c>
      <c r="BE157" s="4">
        <v>4.0404040404040401E-2</v>
      </c>
      <c r="BF157" s="4">
        <v>0.13636363636363599</v>
      </c>
      <c r="BG157" s="4">
        <v>0.11004784688995201</v>
      </c>
      <c r="BH157" s="4">
        <v>0.12121212121212099</v>
      </c>
      <c r="BI157" s="4">
        <v>0.1</v>
      </c>
      <c r="BJ157" s="4">
        <v>6.6985645933014398E-2</v>
      </c>
      <c r="BK157" s="4">
        <v>3.03030303030303E-2</v>
      </c>
      <c r="BL157" s="4">
        <v>0.1</v>
      </c>
      <c r="BM157" s="4">
        <v>2.39234449760766E-2</v>
      </c>
      <c r="BN157" s="4">
        <v>3.03030303030303E-2</v>
      </c>
      <c r="BO157" s="4">
        <v>1.8181818181818198E-2</v>
      </c>
      <c r="BP157" s="4">
        <v>4.3062200956937802E-2</v>
      </c>
      <c r="BQ157" s="4">
        <v>8.0808080808080801E-2</v>
      </c>
      <c r="BR157" s="4">
        <v>9.0909090909090905E-3</v>
      </c>
      <c r="BS157" s="4">
        <v>9.0909090909090898E-2</v>
      </c>
      <c r="BT157" s="4">
        <v>0.11111111111111099</v>
      </c>
      <c r="BU157" s="4">
        <v>7.2727272727272696E-2</v>
      </c>
      <c r="BV157" s="4">
        <v>5.7416267942583699E-2</v>
      </c>
      <c r="BW157" s="4">
        <v>6.0606060606060601E-2</v>
      </c>
      <c r="BX157" s="4">
        <v>5.4545454545454501E-2</v>
      </c>
      <c r="BY157" s="4">
        <v>6.6985645933014398E-2</v>
      </c>
      <c r="BZ157" s="4">
        <v>0.10101010101010099</v>
      </c>
      <c r="CA157" s="4">
        <v>3.6363636363636397E-2</v>
      </c>
      <c r="CB157" s="4">
        <v>5.7416267942583699E-2</v>
      </c>
      <c r="CC157" s="4">
        <v>4.0404040404040401E-2</v>
      </c>
      <c r="CD157" s="4">
        <v>7.2727272727272696E-2</v>
      </c>
      <c r="CE157" s="4">
        <v>4.3062200956937802E-2</v>
      </c>
      <c r="CF157" s="4">
        <v>2.02020202020202E-2</v>
      </c>
      <c r="CG157" s="4">
        <v>6.3636363636363602E-2</v>
      </c>
      <c r="CH157" s="4">
        <v>3.82775119617225E-2</v>
      </c>
      <c r="CI157" s="4">
        <v>4.0404040404040401E-2</v>
      </c>
      <c r="CJ157" s="4">
        <v>3.6363636363636397E-2</v>
      </c>
      <c r="CK157" s="4">
        <v>3.3492822966507199E-2</v>
      </c>
      <c r="CL157" s="4">
        <v>4.0404040404040401E-2</v>
      </c>
      <c r="CM157" s="4">
        <v>2.7272727272727299E-2</v>
      </c>
      <c r="CN157" s="4">
        <v>2.8708133971291901E-2</v>
      </c>
      <c r="CO157" s="4">
        <v>2.02020202020202E-2</v>
      </c>
      <c r="CP157" s="4">
        <v>3.6363636363636397E-2</v>
      </c>
      <c r="CQ157" s="4">
        <v>1.43540669856459E-2</v>
      </c>
      <c r="CR157" s="4">
        <v>1.01010101010101E-2</v>
      </c>
      <c r="CS157" s="4">
        <v>1.8181818181818198E-2</v>
      </c>
      <c r="CT157" s="1">
        <f>Table1[[#This Row],[Female %]]*Table1[[#This Row],[NWS_pin]]</f>
        <v>43.29000000000002</v>
      </c>
      <c r="CU157" s="1">
        <f>Table1[[#This Row],[Male %]]*Table1[[#This Row],[NWS_pin]]</f>
        <v>48.09999999999998</v>
      </c>
      <c r="CV157" s="1">
        <f>Table1[[#This Row],[Female% (0-2)22]]+Table1[[#This Row],[Male%(0-2)3]]</f>
        <v>4.3727272727272704</v>
      </c>
      <c r="CW157" s="1">
        <f>$CT157*Table1[[#This Row],[Female% (0-2)]]</f>
        <v>1.3118181818181822</v>
      </c>
      <c r="CX157" s="1">
        <f>$CU157*Table1[[#This Row],[Male%(0-2)]]</f>
        <v>3.0609090909090879</v>
      </c>
      <c r="CY157" s="1">
        <f>Table1[[#This Row],[Female%  (3-5)5]]+Table1[[#This Row],[Male% (3-5)6]]</f>
        <v>15.547474747474705</v>
      </c>
      <c r="CZ157" s="1">
        <f>$AF157*Table1[[#This Row],[Female%  (3-5)]]</f>
        <v>12.923838383838346</v>
      </c>
      <c r="DA157" s="1">
        <f>$CU157*Table1[[#This Row],[Male% (3-5)]]</f>
        <v>2.6236363636363604</v>
      </c>
      <c r="DB157" s="1">
        <f>Table1[[#This Row],[Female% (6-8)8]]+Table1[[#This Row],[Male%(6-8)9]]</f>
        <v>8.3081818181818186</v>
      </c>
      <c r="DC157" s="1">
        <f>$CT157*Table1[[#This Row],[Female% (6-8)]]</f>
        <v>3.4981818181818194</v>
      </c>
      <c r="DD157" s="1">
        <f>$CU157*Table1[[#This Row],[Male%(6-8)]]</f>
        <v>4.8099999999999987</v>
      </c>
      <c r="DE157" s="1">
        <f>Table1[[#This Row],[Female% (9 - 11)11]]+Table1[[#This Row],[Male% (9 - 11)12]]</f>
        <v>8.3081818181817972</v>
      </c>
      <c r="DF157" s="1">
        <f>$CT157*Table1[[#This Row],[Female% (9 - 11)]]</f>
        <v>1.7490909090909097</v>
      </c>
      <c r="DG157" s="1">
        <f>$CU157*Table1[[#This Row],[Male% (9 - 11)]]</f>
        <v>6.5590909090908882</v>
      </c>
      <c r="DH157" s="1">
        <f>Table1[[#This Row],[Female% (12-14)14]]+Table1[[#This Row],[Male%(12-14)15]]</f>
        <v>10.057272727272718</v>
      </c>
      <c r="DI157" s="1">
        <f>$CT157*Table1[[#This Row],[Female% (12-14)]]</f>
        <v>5.24727272727272</v>
      </c>
      <c r="DJ157" s="1">
        <f>$CU157*Table1[[#This Row],[Male%(12-14)]]</f>
        <v>4.8099999999999987</v>
      </c>
      <c r="DK157" s="1">
        <f>Table1[[#This Row],[Female% (15-17)17]]+Table1[[#This Row],[Male%(15-17)18]]</f>
        <v>6.1218181818181812</v>
      </c>
      <c r="DL157" s="1">
        <f>$CT157*Table1[[#This Row],[Female% (15-17)]]</f>
        <v>1.3118181818181822</v>
      </c>
      <c r="DM157" s="1">
        <f>$CU157*Table1[[#This Row],[Male%(15-17)]]</f>
        <v>4.8099999999999987</v>
      </c>
      <c r="DN157" s="1">
        <f>$AF157*Table1[[#This Row],[Total% (18-19)]]</f>
        <v>2.1863636363636405</v>
      </c>
      <c r="DO157" s="1">
        <f>$CT157*Table1[[#This Row],[Female% (18-19)]]</f>
        <v>1.3118181818181822</v>
      </c>
      <c r="DP157" s="1">
        <f>$CU157*Table1[[#This Row],[Male%(18-19)]]</f>
        <v>0.87454545454545496</v>
      </c>
      <c r="DQ157" s="1">
        <f>$AF157*Table1[[#This Row],[Total% (20-24)]]</f>
        <v>3.9354545454545455</v>
      </c>
      <c r="DR157" s="1">
        <f>$CT157*Table1[[#This Row],[Female% (20-24)]]</f>
        <v>3.4981818181818194</v>
      </c>
      <c r="DS157" s="1">
        <f>$CU157*Table1[[#This Row],[Male% (20-24)]]</f>
        <v>0.43727272727272709</v>
      </c>
      <c r="DT157" s="1">
        <f>$AF157*Table1[[#This Row],[Total% (25-29)]]</f>
        <v>8.3081818181818168</v>
      </c>
      <c r="DU157" s="1">
        <f>$CT157*Table1[[#This Row],[Female% (25-29)]]</f>
        <v>4.8099999999999969</v>
      </c>
      <c r="DV157" s="1">
        <f>$CU157*Table1[[#This Row],[Male% (25-29)]]</f>
        <v>3.4981818181818154</v>
      </c>
      <c r="DW157" s="1">
        <f>$AF157*Table1[[#This Row],[Total%   (30-34)]]</f>
        <v>5.2472727272727244</v>
      </c>
      <c r="DX157" s="1">
        <f>$CT157*Table1[[#This Row],[Female%   (30-34)]]</f>
        <v>2.6236363636363644</v>
      </c>
      <c r="DY157" s="1">
        <f>$CU157*Table1[[#This Row],[Male%  (30-34)]]</f>
        <v>2.6236363636363604</v>
      </c>
      <c r="DZ157" s="1">
        <f>$AF157*Table1[[#This Row],[Total% (35-39)]]</f>
        <v>6.1218181818181856</v>
      </c>
      <c r="EA157" s="1">
        <f>$CT157*Table1[[#This Row],[Female% (35-39)]]</f>
        <v>4.3727272727272739</v>
      </c>
      <c r="EB157" s="1">
        <f>$CU157*Table1[[#This Row],[Male% (35-39)]]</f>
        <v>1.7490909090909099</v>
      </c>
      <c r="EC157" s="1">
        <f>$AF157*Table1[[#This Row],[Total% (40-44)]]</f>
        <v>5.2472727272727244</v>
      </c>
      <c r="ED157" s="1">
        <f>$CT157*Table1[[#This Row],[Female% (40-44)]]</f>
        <v>1.7490909090909097</v>
      </c>
      <c r="EE157" s="1">
        <f>$CU157*Table1[[#This Row],[Male%(55-59)]]</f>
        <v>3.4981818181818154</v>
      </c>
      <c r="EF157" s="1">
        <f>$AF157*Table1[[#This Row],[Total% (45-49)]]</f>
        <v>3.9354545454545455</v>
      </c>
      <c r="EG157" s="1">
        <f>$CT157*Table1[[#This Row],[Female% (45-49)]]</f>
        <v>0.87454545454545485</v>
      </c>
      <c r="EH157" s="1">
        <f>$CU157*Table1[[#This Row],[Male% (45-49)]]</f>
        <v>3.0609090909090879</v>
      </c>
      <c r="EI157" s="1">
        <f>$AF157*Table1[[#This Row],[Total% (50-54)]]</f>
        <v>3.4981818181818194</v>
      </c>
      <c r="EJ157" s="1">
        <f>$CT157*Table1[[#This Row],[Female%(50-54)]]</f>
        <v>1.7490909090909097</v>
      </c>
      <c r="EK157" s="1">
        <f>$CU157*Table1[[#This Row],[Male% (50-54)]]</f>
        <v>1.7490909090909099</v>
      </c>
      <c r="EL157" s="1">
        <f>$AF157*Table1[[#This Row],[Total% (55-59)]]</f>
        <v>3.0609090909090928</v>
      </c>
      <c r="EM157" s="1">
        <f>$CT157*Table1[[#This Row],[Female% (55-59)]]</f>
        <v>1.7490909090909097</v>
      </c>
      <c r="EN157" s="1">
        <f>$CU157*Table1[[#This Row],[Male% (55-59)]]</f>
        <v>1.3118181818181824</v>
      </c>
      <c r="EO157" s="1">
        <f>$AF157*Table1[[#This Row],[Total% (60-64)]]</f>
        <v>2.6236363636363671</v>
      </c>
      <c r="EP157" s="1">
        <f>$CT157*Table1[[#This Row],[Female%(60-64)]]</f>
        <v>0.87454545454545485</v>
      </c>
      <c r="EQ157" s="1">
        <f>$CU157*Table1[[#This Row],[Male%(60-64)]]</f>
        <v>1.7490909090909099</v>
      </c>
      <c r="ER157" s="1">
        <f>$AF157*Table1[[#This Row],[Total% (&gt;=65)]]</f>
        <v>1.3118181818181789</v>
      </c>
      <c r="ES157" s="1">
        <f>$CT157*Table1[[#This Row],[Female%(&gt;=65)]]</f>
        <v>0.43727272727272742</v>
      </c>
      <c r="ET157" s="1">
        <f>$CU157*Table1[[#This Row],[Male% (&gt;=65)]]</f>
        <v>0.87454545454545496</v>
      </c>
    </row>
    <row r="158" spans="1:150" hidden="1" x14ac:dyDescent="0.35">
      <c r="A158" t="s">
        <v>192</v>
      </c>
      <c r="B158" t="s">
        <v>193</v>
      </c>
      <c r="C158" t="s">
        <v>229</v>
      </c>
      <c r="D158" t="s">
        <v>230</v>
      </c>
      <c r="E158" t="s">
        <v>565</v>
      </c>
      <c r="F158" t="s">
        <v>566</v>
      </c>
      <c r="H158">
        <v>3</v>
      </c>
      <c r="I158" s="1">
        <v>0</v>
      </c>
      <c r="J158" s="1">
        <v>3198</v>
      </c>
      <c r="K158" s="1">
        <v>1328</v>
      </c>
      <c r="L158" s="1">
        <v>0</v>
      </c>
      <c r="M158" s="1">
        <v>0</v>
      </c>
      <c r="N158" s="1">
        <v>1328</v>
      </c>
      <c r="O158" s="3">
        <v>1</v>
      </c>
      <c r="P158" s="3">
        <v>0</v>
      </c>
      <c r="Q158" s="3">
        <v>0</v>
      </c>
      <c r="R158" s="3">
        <v>0</v>
      </c>
      <c r="S158" s="3">
        <v>0</v>
      </c>
      <c r="T158" s="1">
        <v>4526</v>
      </c>
      <c r="U158" s="1">
        <v>0</v>
      </c>
      <c r="V158" s="10">
        <f>Table1[[#This Row],[Pop NW+RATAA]]*Table1[[#This Row],[Perc_pop_Northern_Aleppo]]</f>
        <v>0</v>
      </c>
      <c r="W158" s="10">
        <f>Table1[[#This Row],[Pop NW+RATAA]]*Table1[[#This Row],[Perc_pop_Afrin District]]</f>
        <v>0</v>
      </c>
      <c r="X158" s="10">
        <f>Table1[[#This Row],[Pop NW+RATAA]]*Table1[[#This Row],[Perc_pop_Euphrates Shiled]]</f>
        <v>0</v>
      </c>
      <c r="Y158" s="10">
        <f>Table1[[#This Row],[Pop NW+RATAA]]*Table1[[#This Row],[Perc_Pop_Idleb_NSAG]]</f>
        <v>0</v>
      </c>
      <c r="Z158" s="3">
        <v>0</v>
      </c>
      <c r="AA158" s="3">
        <v>0</v>
      </c>
      <c r="AB158" s="3">
        <v>0</v>
      </c>
      <c r="AC158" s="3">
        <v>0</v>
      </c>
      <c r="AD158" s="1">
        <v>1328</v>
      </c>
      <c r="AE158" s="1">
        <v>0</v>
      </c>
      <c r="AF158" s="1">
        <v>0</v>
      </c>
      <c r="AG158" s="1">
        <v>0</v>
      </c>
      <c r="AH158" s="1">
        <v>0</v>
      </c>
      <c r="AI158" s="1">
        <f>Table1[[#This Row],[NWS_pin]]*Table1[[#This Row],[Perc_pop_Northern_Aleppo]]</f>
        <v>0</v>
      </c>
      <c r="AJ158" s="1">
        <f>Table1[[#This Row],[NWS_pin]]*Table1[[#This Row],[Perc_pop_Afrin District]]</f>
        <v>0</v>
      </c>
      <c r="AK158" s="1">
        <f>Table1[[#This Row],[NWS_pin]]*Table1[[#This Row],[Perc_pop_Euphrates Shiled]]</f>
        <v>0</v>
      </c>
      <c r="AL158" s="1">
        <f>Table1[[#This Row],[NWS_pin]]*Table1[[#This Row],[Perc_Pop_Idleb_NSAG]]</f>
        <v>0</v>
      </c>
      <c r="AM158" s="4">
        <v>0.49439078124975799</v>
      </c>
      <c r="AN158" s="4">
        <v>0.50560921875024201</v>
      </c>
      <c r="AO158" s="4">
        <v>0.13822695035461</v>
      </c>
      <c r="AP158" s="4">
        <v>0.41083166519365499</v>
      </c>
      <c r="AQ158" s="4">
        <v>0.50181294981232805</v>
      </c>
      <c r="AR158" s="4">
        <v>1.5822832107595299E-2</v>
      </c>
      <c r="AS158" s="4">
        <v>0</v>
      </c>
      <c r="AT158" s="4">
        <v>7.1532552886421394E-2</v>
      </c>
      <c r="AU158" s="4">
        <v>5.5574306279135698E-2</v>
      </c>
      <c r="AV158" s="4">
        <v>4.8447127165684098E-2</v>
      </c>
      <c r="AW158" s="4">
        <v>6.2543347822159506E-2</v>
      </c>
      <c r="AX158" s="4">
        <v>8.2855576938261399E-2</v>
      </c>
      <c r="AY158" s="4">
        <v>7.4348435383736103E-2</v>
      </c>
      <c r="AZ158" s="4">
        <v>9.1173962369879999E-2</v>
      </c>
      <c r="BA158" s="4">
        <v>0.107978622110819</v>
      </c>
      <c r="BB158" s="4">
        <v>9.2478724820129796E-2</v>
      </c>
      <c r="BC158" s="4">
        <v>0.123134608288793</v>
      </c>
      <c r="BD158" s="4">
        <v>6.4416218584581894E-2</v>
      </c>
      <c r="BE158" s="4">
        <v>4.89654038565423E-2</v>
      </c>
      <c r="BF158" s="4">
        <v>7.9524211241879694E-2</v>
      </c>
      <c r="BG158" s="4">
        <v>0.10772239089272199</v>
      </c>
      <c r="BH158" s="4">
        <v>9.43294893173936E-2</v>
      </c>
      <c r="BI158" s="4">
        <v>0.120818131293568</v>
      </c>
      <c r="BJ158" s="4">
        <v>6.9416210843457393E-2</v>
      </c>
      <c r="BK158" s="4">
        <v>5.4663315874768102E-2</v>
      </c>
      <c r="BL158" s="4">
        <v>8.3841769157632196E-2</v>
      </c>
      <c r="BM158" s="4">
        <v>2.0878586656468998E-2</v>
      </c>
      <c r="BN158" s="4">
        <v>2.35823723293484E-2</v>
      </c>
      <c r="BO158" s="4">
        <v>1.8234792473976E-2</v>
      </c>
      <c r="BP158" s="4">
        <v>4.6354627102295903E-2</v>
      </c>
      <c r="BQ158" s="4">
        <v>3.7297132254503602E-2</v>
      </c>
      <c r="BR158" s="4">
        <v>5.5211154609911703E-2</v>
      </c>
      <c r="BS158" s="4">
        <v>8.4782342804857094E-2</v>
      </c>
      <c r="BT158" s="4">
        <v>0.12797519787678799</v>
      </c>
      <c r="BU158" s="4">
        <v>4.2547849105944002E-2</v>
      </c>
      <c r="BV158" s="4">
        <v>6.6599215669274403E-2</v>
      </c>
      <c r="BW158" s="4">
        <v>5.0247786363529598E-2</v>
      </c>
      <c r="BX158" s="4">
        <v>8.25878401033764E-2</v>
      </c>
      <c r="BY158" s="4">
        <v>7.4269895850912093E-2</v>
      </c>
      <c r="BZ158" s="4">
        <v>0.104911102238298</v>
      </c>
      <c r="CA158" s="4">
        <v>4.4308555348183502E-2</v>
      </c>
      <c r="CB158" s="4">
        <v>3.8683946920658102E-2</v>
      </c>
      <c r="CC158" s="4">
        <v>5.33809333677807E-2</v>
      </c>
      <c r="CD158" s="4">
        <v>2.4313056631967998E-2</v>
      </c>
      <c r="CE158" s="4">
        <v>8.3514346625876104E-2</v>
      </c>
      <c r="CF158" s="4">
        <v>0.114260437951633</v>
      </c>
      <c r="CG158" s="4">
        <v>5.3450448367672203E-2</v>
      </c>
      <c r="CH158" s="4">
        <v>3.65009498359656E-2</v>
      </c>
      <c r="CI158" s="4">
        <v>2.6665414034181201E-2</v>
      </c>
      <c r="CJ158" s="4">
        <v>4.6118255155424399E-2</v>
      </c>
      <c r="CK158" s="4">
        <v>2.4842042356336299E-2</v>
      </c>
      <c r="CL158" s="4">
        <v>1.2432377418167899E-2</v>
      </c>
      <c r="CM158" s="4">
        <v>3.6976362135935699E-2</v>
      </c>
      <c r="CN158" s="4">
        <v>2.3951813048749E-2</v>
      </c>
      <c r="CO158" s="4">
        <v>2.35823723293484E-2</v>
      </c>
      <c r="CP158" s="4">
        <v>2.4313056631967998E-2</v>
      </c>
      <c r="CQ158" s="4">
        <v>1.1658907479629201E-2</v>
      </c>
      <c r="CR158" s="4">
        <v>1.2432377418167899E-2</v>
      </c>
      <c r="CS158" s="4">
        <v>1.0902599261728201E-2</v>
      </c>
      <c r="CT158" s="1">
        <f>Table1[[#This Row],[Female %]]*Table1[[#This Row],[NWS_pin]]</f>
        <v>0</v>
      </c>
      <c r="CU158" s="1">
        <f>Table1[[#This Row],[Male %]]*Table1[[#This Row],[NWS_pin]]</f>
        <v>0</v>
      </c>
      <c r="CV158" s="1">
        <f>Table1[[#This Row],[Female% (0-2)22]]+Table1[[#This Row],[Male%(0-2)3]]</f>
        <v>0</v>
      </c>
      <c r="CW158" s="1">
        <f>$CT158*Table1[[#This Row],[Female% (0-2)]]</f>
        <v>0</v>
      </c>
      <c r="CX158" s="1">
        <f>$CU158*Table1[[#This Row],[Male%(0-2)]]</f>
        <v>0</v>
      </c>
      <c r="CY158" s="1">
        <f>Table1[[#This Row],[Female%  (3-5)5]]+Table1[[#This Row],[Male% (3-5)6]]</f>
        <v>0</v>
      </c>
      <c r="CZ158" s="1">
        <f>$AF158*Table1[[#This Row],[Female%  (3-5)]]</f>
        <v>0</v>
      </c>
      <c r="DA158" s="1">
        <f>$CU158*Table1[[#This Row],[Male% (3-5)]]</f>
        <v>0</v>
      </c>
      <c r="DB158" s="1">
        <f>Table1[[#This Row],[Female% (6-8)8]]+Table1[[#This Row],[Male%(6-8)9]]</f>
        <v>0</v>
      </c>
      <c r="DC158" s="1">
        <f>$CT158*Table1[[#This Row],[Female% (6-8)]]</f>
        <v>0</v>
      </c>
      <c r="DD158" s="1">
        <f>$CU158*Table1[[#This Row],[Male%(6-8)]]</f>
        <v>0</v>
      </c>
      <c r="DE158" s="1">
        <f>Table1[[#This Row],[Female% (9 - 11)11]]+Table1[[#This Row],[Male% (9 - 11)12]]</f>
        <v>0</v>
      </c>
      <c r="DF158" s="1">
        <f>$CT158*Table1[[#This Row],[Female% (9 - 11)]]</f>
        <v>0</v>
      </c>
      <c r="DG158" s="1">
        <f>$CU158*Table1[[#This Row],[Male% (9 - 11)]]</f>
        <v>0</v>
      </c>
      <c r="DH158" s="1">
        <f>Table1[[#This Row],[Female% (12-14)14]]+Table1[[#This Row],[Male%(12-14)15]]</f>
        <v>0</v>
      </c>
      <c r="DI158" s="1">
        <f>$CT158*Table1[[#This Row],[Female% (12-14)]]</f>
        <v>0</v>
      </c>
      <c r="DJ158" s="1">
        <f>$CU158*Table1[[#This Row],[Male%(12-14)]]</f>
        <v>0</v>
      </c>
      <c r="DK158" s="1">
        <f>Table1[[#This Row],[Female% (15-17)17]]+Table1[[#This Row],[Male%(15-17)18]]</f>
        <v>0</v>
      </c>
      <c r="DL158" s="1">
        <f>$CT158*Table1[[#This Row],[Female% (15-17)]]</f>
        <v>0</v>
      </c>
      <c r="DM158" s="1">
        <f>$CU158*Table1[[#This Row],[Male%(15-17)]]</f>
        <v>0</v>
      </c>
      <c r="DN158" s="1">
        <f>$AF158*Table1[[#This Row],[Total% (18-19)]]</f>
        <v>0</v>
      </c>
      <c r="DO158" s="1">
        <f>$CT158*Table1[[#This Row],[Female% (18-19)]]</f>
        <v>0</v>
      </c>
      <c r="DP158" s="1">
        <f>$CU158*Table1[[#This Row],[Male%(18-19)]]</f>
        <v>0</v>
      </c>
      <c r="DQ158" s="1">
        <f>$AF158*Table1[[#This Row],[Total% (20-24)]]</f>
        <v>0</v>
      </c>
      <c r="DR158" s="1">
        <f>$CT158*Table1[[#This Row],[Female% (20-24)]]</f>
        <v>0</v>
      </c>
      <c r="DS158" s="1">
        <f>$CU158*Table1[[#This Row],[Male% (20-24)]]</f>
        <v>0</v>
      </c>
      <c r="DT158" s="1">
        <f>$AF158*Table1[[#This Row],[Total% (25-29)]]</f>
        <v>0</v>
      </c>
      <c r="DU158" s="1">
        <f>$CT158*Table1[[#This Row],[Female% (25-29)]]</f>
        <v>0</v>
      </c>
      <c r="DV158" s="1">
        <f>$CU158*Table1[[#This Row],[Male% (25-29)]]</f>
        <v>0</v>
      </c>
      <c r="DW158" s="1">
        <f>$AF158*Table1[[#This Row],[Total%   (30-34)]]</f>
        <v>0</v>
      </c>
      <c r="DX158" s="1">
        <f>$CT158*Table1[[#This Row],[Female%   (30-34)]]</f>
        <v>0</v>
      </c>
      <c r="DY158" s="1">
        <f>$CU158*Table1[[#This Row],[Male%  (30-34)]]</f>
        <v>0</v>
      </c>
      <c r="DZ158" s="1">
        <f>$AF158*Table1[[#This Row],[Total% (35-39)]]</f>
        <v>0</v>
      </c>
      <c r="EA158" s="1">
        <f>$CT158*Table1[[#This Row],[Female% (35-39)]]</f>
        <v>0</v>
      </c>
      <c r="EB158" s="1">
        <f>$CU158*Table1[[#This Row],[Male% (35-39)]]</f>
        <v>0</v>
      </c>
      <c r="EC158" s="1">
        <f>$AF158*Table1[[#This Row],[Total% (40-44)]]</f>
        <v>0</v>
      </c>
      <c r="ED158" s="1">
        <f>$CT158*Table1[[#This Row],[Female% (40-44)]]</f>
        <v>0</v>
      </c>
      <c r="EE158" s="1">
        <f>$CU158*Table1[[#This Row],[Male%(55-59)]]</f>
        <v>0</v>
      </c>
      <c r="EF158" s="1">
        <f>$AF158*Table1[[#This Row],[Total% (45-49)]]</f>
        <v>0</v>
      </c>
      <c r="EG158" s="1">
        <f>$CT158*Table1[[#This Row],[Female% (45-49)]]</f>
        <v>0</v>
      </c>
      <c r="EH158" s="1">
        <f>$CU158*Table1[[#This Row],[Male% (45-49)]]</f>
        <v>0</v>
      </c>
      <c r="EI158" s="1">
        <f>$AF158*Table1[[#This Row],[Total% (50-54)]]</f>
        <v>0</v>
      </c>
      <c r="EJ158" s="1">
        <f>$CT158*Table1[[#This Row],[Female%(50-54)]]</f>
        <v>0</v>
      </c>
      <c r="EK158" s="1">
        <f>$CU158*Table1[[#This Row],[Male% (50-54)]]</f>
        <v>0</v>
      </c>
      <c r="EL158" s="1">
        <f>$AF158*Table1[[#This Row],[Total% (55-59)]]</f>
        <v>0</v>
      </c>
      <c r="EM158" s="1">
        <f>$CT158*Table1[[#This Row],[Female% (55-59)]]</f>
        <v>0</v>
      </c>
      <c r="EN158" s="1">
        <f>$CU158*Table1[[#This Row],[Male% (55-59)]]</f>
        <v>0</v>
      </c>
      <c r="EO158" s="1">
        <f>$AF158*Table1[[#This Row],[Total% (60-64)]]</f>
        <v>0</v>
      </c>
      <c r="EP158" s="1">
        <f>$CT158*Table1[[#This Row],[Female%(60-64)]]</f>
        <v>0</v>
      </c>
      <c r="EQ158" s="1">
        <f>$CU158*Table1[[#This Row],[Male%(60-64)]]</f>
        <v>0</v>
      </c>
      <c r="ER158" s="1">
        <f>$AF158*Table1[[#This Row],[Total% (&gt;=65)]]</f>
        <v>0</v>
      </c>
      <c r="ES158" s="1">
        <f>$CT158*Table1[[#This Row],[Female%(&gt;=65)]]</f>
        <v>0</v>
      </c>
      <c r="ET158" s="1">
        <f>$CU158*Table1[[#This Row],[Male% (&gt;=65)]]</f>
        <v>0</v>
      </c>
    </row>
    <row r="159" spans="1:150" hidden="1" x14ac:dyDescent="0.35">
      <c r="A159" t="s">
        <v>192</v>
      </c>
      <c r="B159" t="s">
        <v>193</v>
      </c>
      <c r="C159" t="s">
        <v>229</v>
      </c>
      <c r="D159" t="s">
        <v>230</v>
      </c>
      <c r="E159" t="s">
        <v>612</v>
      </c>
      <c r="F159" t="s">
        <v>613</v>
      </c>
      <c r="H159">
        <v>3</v>
      </c>
      <c r="I159" s="1">
        <v>0</v>
      </c>
      <c r="J159" s="1">
        <v>222</v>
      </c>
      <c r="K159" s="1">
        <v>1050</v>
      </c>
      <c r="L159" s="1">
        <v>0</v>
      </c>
      <c r="M159" s="1">
        <v>0</v>
      </c>
      <c r="N159" s="1">
        <v>1050</v>
      </c>
      <c r="O159" s="3">
        <v>1</v>
      </c>
      <c r="P159" s="3">
        <v>0</v>
      </c>
      <c r="Q159" s="3">
        <v>0</v>
      </c>
      <c r="R159" s="3">
        <v>0</v>
      </c>
      <c r="S159" s="3">
        <v>0</v>
      </c>
      <c r="T159" s="1">
        <v>1272</v>
      </c>
      <c r="U159" s="1">
        <v>0</v>
      </c>
      <c r="V159" s="10">
        <f>Table1[[#This Row],[Pop NW+RATAA]]*Table1[[#This Row],[Perc_pop_Northern_Aleppo]]</f>
        <v>0</v>
      </c>
      <c r="W159" s="10">
        <f>Table1[[#This Row],[Pop NW+RATAA]]*Table1[[#This Row],[Perc_pop_Afrin District]]</f>
        <v>0</v>
      </c>
      <c r="X159" s="10">
        <f>Table1[[#This Row],[Pop NW+RATAA]]*Table1[[#This Row],[Perc_pop_Euphrates Shiled]]</f>
        <v>0</v>
      </c>
      <c r="Y159" s="10">
        <f>Table1[[#This Row],[Pop NW+RATAA]]*Table1[[#This Row],[Perc_Pop_Idleb_NSAG]]</f>
        <v>0</v>
      </c>
      <c r="Z159" s="3">
        <v>0</v>
      </c>
      <c r="AA159" s="3">
        <v>0</v>
      </c>
      <c r="AB159" s="3">
        <v>0</v>
      </c>
      <c r="AC159" s="3">
        <v>0</v>
      </c>
      <c r="AD159" s="1">
        <v>1050</v>
      </c>
      <c r="AE159" s="1">
        <v>0</v>
      </c>
      <c r="AF159" s="1">
        <v>0</v>
      </c>
      <c r="AG159" s="1">
        <v>0</v>
      </c>
      <c r="AH159" s="1">
        <v>0</v>
      </c>
      <c r="AI159" s="1">
        <f>Table1[[#This Row],[NWS_pin]]*Table1[[#This Row],[Perc_pop_Northern_Aleppo]]</f>
        <v>0</v>
      </c>
      <c r="AJ159" s="1">
        <f>Table1[[#This Row],[NWS_pin]]*Table1[[#This Row],[Perc_pop_Afrin District]]</f>
        <v>0</v>
      </c>
      <c r="AK159" s="1">
        <f>Table1[[#This Row],[NWS_pin]]*Table1[[#This Row],[Perc_pop_Euphrates Shiled]]</f>
        <v>0</v>
      </c>
      <c r="AL159" s="1">
        <f>Table1[[#This Row],[NWS_pin]]*Table1[[#This Row],[Perc_Pop_Idleb_NSAG]]</f>
        <v>0</v>
      </c>
      <c r="AM159" s="4">
        <v>0.49679487179487197</v>
      </c>
      <c r="AN159" s="4">
        <v>0.50320512820512797</v>
      </c>
      <c r="AO159" s="4">
        <v>0.12619047619047599</v>
      </c>
      <c r="AP159" s="4">
        <v>0.45374449339207101</v>
      </c>
      <c r="AQ159" s="4">
        <v>0.50220264317180596</v>
      </c>
      <c r="AR159" s="4">
        <v>8.8105726872246704E-3</v>
      </c>
      <c r="AS159" s="4">
        <v>0</v>
      </c>
      <c r="AT159" s="4">
        <v>3.5242290748898703E-2</v>
      </c>
      <c r="AU159" s="4">
        <v>8.9743589743589702E-2</v>
      </c>
      <c r="AV159" s="4">
        <v>9.6774193548387094E-2</v>
      </c>
      <c r="AW159" s="4">
        <v>8.2802547770700605E-2</v>
      </c>
      <c r="AX159" s="4">
        <v>9.6153846153846201E-2</v>
      </c>
      <c r="AY159" s="4">
        <v>0.109677419354839</v>
      </c>
      <c r="AZ159" s="4">
        <v>8.2802547770700605E-2</v>
      </c>
      <c r="BA159" s="4">
        <v>0.125</v>
      </c>
      <c r="BB159" s="4">
        <v>9.0322580645161299E-2</v>
      </c>
      <c r="BC159" s="4">
        <v>0.15923566878980899</v>
      </c>
      <c r="BD159" s="4">
        <v>8.0128205128205093E-2</v>
      </c>
      <c r="BE159" s="4">
        <v>8.3870967741935504E-2</v>
      </c>
      <c r="BF159" s="4">
        <v>7.6433121019108305E-2</v>
      </c>
      <c r="BG159" s="4">
        <v>8.9743589743589702E-2</v>
      </c>
      <c r="BH159" s="4">
        <v>3.8709677419354799E-2</v>
      </c>
      <c r="BI159" s="4">
        <v>0.14012738853503201</v>
      </c>
      <c r="BJ159" s="4">
        <v>6.7307692307692304E-2</v>
      </c>
      <c r="BK159" s="4">
        <v>9.6774193548387094E-2</v>
      </c>
      <c r="BL159" s="4">
        <v>3.8216560509554097E-2</v>
      </c>
      <c r="BM159" s="4">
        <v>3.2051282051282E-2</v>
      </c>
      <c r="BN159" s="4">
        <v>3.2258064516128997E-2</v>
      </c>
      <c r="BO159" s="4">
        <v>3.1847133757961797E-2</v>
      </c>
      <c r="BP159" s="4">
        <v>3.5256410256410298E-2</v>
      </c>
      <c r="BQ159" s="4">
        <v>3.8709677419354799E-2</v>
      </c>
      <c r="BR159" s="4">
        <v>3.1847133757961797E-2</v>
      </c>
      <c r="BS159" s="4">
        <v>3.8461538461538498E-2</v>
      </c>
      <c r="BT159" s="4">
        <v>5.8064516129032302E-2</v>
      </c>
      <c r="BU159" s="4">
        <v>1.9108280254777101E-2</v>
      </c>
      <c r="BV159" s="4">
        <v>7.0512820512820498E-2</v>
      </c>
      <c r="BW159" s="4">
        <v>8.3870967741935504E-2</v>
      </c>
      <c r="BX159" s="4">
        <v>5.7324840764331197E-2</v>
      </c>
      <c r="BY159" s="4">
        <v>7.0512820512820498E-2</v>
      </c>
      <c r="BZ159" s="4">
        <v>6.4516129032258104E-2</v>
      </c>
      <c r="CA159" s="4">
        <v>7.6433121019108305E-2</v>
      </c>
      <c r="CB159" s="4">
        <v>5.1282051282051301E-2</v>
      </c>
      <c r="CC159" s="4">
        <v>5.16129032258065E-2</v>
      </c>
      <c r="CD159" s="4">
        <v>5.0955414012738898E-2</v>
      </c>
      <c r="CE159" s="4">
        <v>4.48717948717949E-2</v>
      </c>
      <c r="CF159" s="4">
        <v>3.8709677419354799E-2</v>
      </c>
      <c r="CG159" s="4">
        <v>5.0955414012738898E-2</v>
      </c>
      <c r="CH159" s="4">
        <v>4.1666666666666699E-2</v>
      </c>
      <c r="CI159" s="4">
        <v>4.5161290322580601E-2</v>
      </c>
      <c r="CJ159" s="4">
        <v>3.8216560509554097E-2</v>
      </c>
      <c r="CK159" s="4">
        <v>3.2051282051282E-2</v>
      </c>
      <c r="CL159" s="4">
        <v>2.5806451612903201E-2</v>
      </c>
      <c r="CM159" s="4">
        <v>3.8216560509554097E-2</v>
      </c>
      <c r="CN159" s="4">
        <v>2.2435897435897401E-2</v>
      </c>
      <c r="CO159" s="4">
        <v>2.5806451612903201E-2</v>
      </c>
      <c r="CP159" s="4">
        <v>1.9108280254777101E-2</v>
      </c>
      <c r="CQ159" s="4">
        <v>1.2820512820512799E-2</v>
      </c>
      <c r="CR159" s="4">
        <v>1.9354838709677399E-2</v>
      </c>
      <c r="CS159" s="4">
        <v>6.3694267515923596E-3</v>
      </c>
      <c r="CT159" s="1">
        <f>Table1[[#This Row],[Female %]]*Table1[[#This Row],[NWS_pin]]</f>
        <v>0</v>
      </c>
      <c r="CU159" s="1">
        <f>Table1[[#This Row],[Male %]]*Table1[[#This Row],[NWS_pin]]</f>
        <v>0</v>
      </c>
      <c r="CV159" s="1">
        <f>Table1[[#This Row],[Female% (0-2)22]]+Table1[[#This Row],[Male%(0-2)3]]</f>
        <v>0</v>
      </c>
      <c r="CW159" s="1">
        <f>$CT159*Table1[[#This Row],[Female% (0-2)]]</f>
        <v>0</v>
      </c>
      <c r="CX159" s="1">
        <f>$CU159*Table1[[#This Row],[Male%(0-2)]]</f>
        <v>0</v>
      </c>
      <c r="CY159" s="1">
        <f>Table1[[#This Row],[Female%  (3-5)5]]+Table1[[#This Row],[Male% (3-5)6]]</f>
        <v>0</v>
      </c>
      <c r="CZ159" s="1">
        <f>$AF159*Table1[[#This Row],[Female%  (3-5)]]</f>
        <v>0</v>
      </c>
      <c r="DA159" s="1">
        <f>$CU159*Table1[[#This Row],[Male% (3-5)]]</f>
        <v>0</v>
      </c>
      <c r="DB159" s="1">
        <f>Table1[[#This Row],[Female% (6-8)8]]+Table1[[#This Row],[Male%(6-8)9]]</f>
        <v>0</v>
      </c>
      <c r="DC159" s="1">
        <f>$CT159*Table1[[#This Row],[Female% (6-8)]]</f>
        <v>0</v>
      </c>
      <c r="DD159" s="1">
        <f>$CU159*Table1[[#This Row],[Male%(6-8)]]</f>
        <v>0</v>
      </c>
      <c r="DE159" s="1">
        <f>Table1[[#This Row],[Female% (9 - 11)11]]+Table1[[#This Row],[Male% (9 - 11)12]]</f>
        <v>0</v>
      </c>
      <c r="DF159" s="1">
        <f>$CT159*Table1[[#This Row],[Female% (9 - 11)]]</f>
        <v>0</v>
      </c>
      <c r="DG159" s="1">
        <f>$CU159*Table1[[#This Row],[Male% (9 - 11)]]</f>
        <v>0</v>
      </c>
      <c r="DH159" s="1">
        <f>Table1[[#This Row],[Female% (12-14)14]]+Table1[[#This Row],[Male%(12-14)15]]</f>
        <v>0</v>
      </c>
      <c r="DI159" s="1">
        <f>$CT159*Table1[[#This Row],[Female% (12-14)]]</f>
        <v>0</v>
      </c>
      <c r="DJ159" s="1">
        <f>$CU159*Table1[[#This Row],[Male%(12-14)]]</f>
        <v>0</v>
      </c>
      <c r="DK159" s="1">
        <f>Table1[[#This Row],[Female% (15-17)17]]+Table1[[#This Row],[Male%(15-17)18]]</f>
        <v>0</v>
      </c>
      <c r="DL159" s="1">
        <f>$CT159*Table1[[#This Row],[Female% (15-17)]]</f>
        <v>0</v>
      </c>
      <c r="DM159" s="1">
        <f>$CU159*Table1[[#This Row],[Male%(15-17)]]</f>
        <v>0</v>
      </c>
      <c r="DN159" s="1">
        <f>$AF159*Table1[[#This Row],[Total% (18-19)]]</f>
        <v>0</v>
      </c>
      <c r="DO159" s="1">
        <f>$CT159*Table1[[#This Row],[Female% (18-19)]]</f>
        <v>0</v>
      </c>
      <c r="DP159" s="1">
        <f>$CU159*Table1[[#This Row],[Male%(18-19)]]</f>
        <v>0</v>
      </c>
      <c r="DQ159" s="1">
        <f>$AF159*Table1[[#This Row],[Total% (20-24)]]</f>
        <v>0</v>
      </c>
      <c r="DR159" s="1">
        <f>$CT159*Table1[[#This Row],[Female% (20-24)]]</f>
        <v>0</v>
      </c>
      <c r="DS159" s="1">
        <f>$CU159*Table1[[#This Row],[Male% (20-24)]]</f>
        <v>0</v>
      </c>
      <c r="DT159" s="1">
        <f>$AF159*Table1[[#This Row],[Total% (25-29)]]</f>
        <v>0</v>
      </c>
      <c r="DU159" s="1">
        <f>$CT159*Table1[[#This Row],[Female% (25-29)]]</f>
        <v>0</v>
      </c>
      <c r="DV159" s="1">
        <f>$CU159*Table1[[#This Row],[Male% (25-29)]]</f>
        <v>0</v>
      </c>
      <c r="DW159" s="1">
        <f>$AF159*Table1[[#This Row],[Total%   (30-34)]]</f>
        <v>0</v>
      </c>
      <c r="DX159" s="1">
        <f>$CT159*Table1[[#This Row],[Female%   (30-34)]]</f>
        <v>0</v>
      </c>
      <c r="DY159" s="1">
        <f>$CU159*Table1[[#This Row],[Male%  (30-34)]]</f>
        <v>0</v>
      </c>
      <c r="DZ159" s="1">
        <f>$AF159*Table1[[#This Row],[Total% (35-39)]]</f>
        <v>0</v>
      </c>
      <c r="EA159" s="1">
        <f>$CT159*Table1[[#This Row],[Female% (35-39)]]</f>
        <v>0</v>
      </c>
      <c r="EB159" s="1">
        <f>$CU159*Table1[[#This Row],[Male% (35-39)]]</f>
        <v>0</v>
      </c>
      <c r="EC159" s="1">
        <f>$AF159*Table1[[#This Row],[Total% (40-44)]]</f>
        <v>0</v>
      </c>
      <c r="ED159" s="1">
        <f>$CT159*Table1[[#This Row],[Female% (40-44)]]</f>
        <v>0</v>
      </c>
      <c r="EE159" s="1">
        <f>$CU159*Table1[[#This Row],[Male%(55-59)]]</f>
        <v>0</v>
      </c>
      <c r="EF159" s="1">
        <f>$AF159*Table1[[#This Row],[Total% (45-49)]]</f>
        <v>0</v>
      </c>
      <c r="EG159" s="1">
        <f>$CT159*Table1[[#This Row],[Female% (45-49)]]</f>
        <v>0</v>
      </c>
      <c r="EH159" s="1">
        <f>$CU159*Table1[[#This Row],[Male% (45-49)]]</f>
        <v>0</v>
      </c>
      <c r="EI159" s="1">
        <f>$AF159*Table1[[#This Row],[Total% (50-54)]]</f>
        <v>0</v>
      </c>
      <c r="EJ159" s="1">
        <f>$CT159*Table1[[#This Row],[Female%(50-54)]]</f>
        <v>0</v>
      </c>
      <c r="EK159" s="1">
        <f>$CU159*Table1[[#This Row],[Male% (50-54)]]</f>
        <v>0</v>
      </c>
      <c r="EL159" s="1">
        <f>$AF159*Table1[[#This Row],[Total% (55-59)]]</f>
        <v>0</v>
      </c>
      <c r="EM159" s="1">
        <f>$CT159*Table1[[#This Row],[Female% (55-59)]]</f>
        <v>0</v>
      </c>
      <c r="EN159" s="1">
        <f>$CU159*Table1[[#This Row],[Male% (55-59)]]</f>
        <v>0</v>
      </c>
      <c r="EO159" s="1">
        <f>$AF159*Table1[[#This Row],[Total% (60-64)]]</f>
        <v>0</v>
      </c>
      <c r="EP159" s="1">
        <f>$CT159*Table1[[#This Row],[Female%(60-64)]]</f>
        <v>0</v>
      </c>
      <c r="EQ159" s="1">
        <f>$CU159*Table1[[#This Row],[Male%(60-64)]]</f>
        <v>0</v>
      </c>
      <c r="ER159" s="1">
        <f>$AF159*Table1[[#This Row],[Total% (&gt;=65)]]</f>
        <v>0</v>
      </c>
      <c r="ES159" s="1">
        <f>$CT159*Table1[[#This Row],[Female%(&gt;=65)]]</f>
        <v>0</v>
      </c>
      <c r="ET159" s="1">
        <f>$CU159*Table1[[#This Row],[Male% (&gt;=65)]]</f>
        <v>0</v>
      </c>
    </row>
    <row r="160" spans="1:150" x14ac:dyDescent="0.35">
      <c r="A160" t="s">
        <v>192</v>
      </c>
      <c r="B160" t="s">
        <v>193</v>
      </c>
      <c r="C160" t="s">
        <v>211</v>
      </c>
      <c r="D160" t="s">
        <v>212</v>
      </c>
      <c r="E160" t="s">
        <v>211</v>
      </c>
      <c r="F160" t="s">
        <v>382</v>
      </c>
      <c r="G160" t="s">
        <v>1143</v>
      </c>
      <c r="H160">
        <v>4</v>
      </c>
      <c r="I160" s="1">
        <v>0</v>
      </c>
      <c r="J160" s="1">
        <v>2906</v>
      </c>
      <c r="K160" s="1">
        <v>48089</v>
      </c>
      <c r="L160" s="1">
        <v>28022</v>
      </c>
      <c r="M160" s="1">
        <v>0</v>
      </c>
      <c r="N160" s="1">
        <v>76111</v>
      </c>
      <c r="O160" s="3">
        <v>0</v>
      </c>
      <c r="P160" s="3">
        <v>0</v>
      </c>
      <c r="Q160" s="3">
        <v>1</v>
      </c>
      <c r="R160" s="3">
        <v>0</v>
      </c>
      <c r="S160" s="3">
        <v>0</v>
      </c>
      <c r="T160" s="1">
        <v>79017</v>
      </c>
      <c r="U160" s="1">
        <v>79016</v>
      </c>
      <c r="V160" s="10">
        <f>Table1[[#This Row],[Pop NW+RATAA]]*Table1[[#This Row],[Perc_pop_Northern_Aleppo]]</f>
        <v>0</v>
      </c>
      <c r="W160" s="10">
        <f>Table1[[#This Row],[Pop NW+RATAA]]*Table1[[#This Row],[Perc_pop_Afrin District]]</f>
        <v>0</v>
      </c>
      <c r="X160" s="10">
        <f>Table1[[#This Row],[Pop NW+RATAA]]*Table1[[#This Row],[Perc_pop_Euphrates Shiled]]</f>
        <v>0</v>
      </c>
      <c r="Y160" s="10">
        <f>Table1[[#This Row],[Pop NW+RATAA]]*Table1[[#This Row],[Perc_Pop_Idleb_NSAG]]</f>
        <v>79016</v>
      </c>
      <c r="Z160" s="3">
        <v>0</v>
      </c>
      <c r="AA160" s="3">
        <v>0</v>
      </c>
      <c r="AB160" s="3">
        <v>0</v>
      </c>
      <c r="AC160" s="3">
        <v>1</v>
      </c>
      <c r="AD160" s="1">
        <v>0</v>
      </c>
      <c r="AE160" s="1">
        <v>0</v>
      </c>
      <c r="AF160" s="1">
        <v>76111</v>
      </c>
      <c r="AG160" s="1">
        <v>0</v>
      </c>
      <c r="AH160" s="1">
        <v>0</v>
      </c>
      <c r="AI160" s="1">
        <f>Table1[[#This Row],[NWS_pin]]*Table1[[#This Row],[Perc_pop_Northern_Aleppo]]</f>
        <v>0</v>
      </c>
      <c r="AJ160" s="1">
        <f>Table1[[#This Row],[NWS_pin]]*Table1[[#This Row],[Perc_pop_Afrin District]]</f>
        <v>0</v>
      </c>
      <c r="AK160" s="1">
        <f>Table1[[#This Row],[NWS_pin]]*Table1[[#This Row],[Perc_pop_Euphrates Shiled]]</f>
        <v>0</v>
      </c>
      <c r="AL160" s="1">
        <f>Table1[[#This Row],[NWS_pin]]*Table1[[#This Row],[Perc_Pop_Idleb_NSAG]]</f>
        <v>76111</v>
      </c>
      <c r="AM160" s="4">
        <v>0.50135953997771299</v>
      </c>
      <c r="AN160" s="4">
        <v>0.49864046002228701</v>
      </c>
      <c r="AO160" s="4">
        <v>0.19536477690354001</v>
      </c>
      <c r="AP160" s="4">
        <v>0.48188793250053802</v>
      </c>
      <c r="AQ160" s="4">
        <v>0.45484491190791299</v>
      </c>
      <c r="AR160" s="4">
        <v>9.5836280837845299E-3</v>
      </c>
      <c r="AS160" s="4">
        <v>0</v>
      </c>
      <c r="AT160" s="4">
        <v>5.3683527507764499E-2</v>
      </c>
      <c r="AU160" s="4">
        <v>5.92628359792308E-2</v>
      </c>
      <c r="AV160" s="4">
        <v>6.21579535526047E-2</v>
      </c>
      <c r="AW160" s="4">
        <v>5.6351931367312098E-2</v>
      </c>
      <c r="AX160" s="4">
        <v>0.106385137505584</v>
      </c>
      <c r="AY160" s="4">
        <v>0.109575600889727</v>
      </c>
      <c r="AZ160" s="4">
        <v>0.103177276566025</v>
      </c>
      <c r="BA160" s="4">
        <v>8.3733074261184301E-2</v>
      </c>
      <c r="BB160" s="4">
        <v>7.8669007947109307E-2</v>
      </c>
      <c r="BC160" s="4">
        <v>8.8824754863131003E-2</v>
      </c>
      <c r="BD160" s="4">
        <v>9.8031180246444402E-2</v>
      </c>
      <c r="BE160" s="4">
        <v>9.3823010123135001E-2</v>
      </c>
      <c r="BF160" s="4">
        <v>0.102262297466808</v>
      </c>
      <c r="BG160" s="4">
        <v>6.2626121291744594E-2</v>
      </c>
      <c r="BH160" s="4">
        <v>5.8464131976724502E-2</v>
      </c>
      <c r="BI160" s="4">
        <v>6.6810805880470905E-2</v>
      </c>
      <c r="BJ160" s="4">
        <v>9.8081325428153093E-2</v>
      </c>
      <c r="BK160" s="4">
        <v>0.108995103656238</v>
      </c>
      <c r="BL160" s="4">
        <v>8.7108034509066998E-2</v>
      </c>
      <c r="BM160" s="4">
        <v>5.2596050261334799E-2</v>
      </c>
      <c r="BN160" s="4">
        <v>2.14786797365598E-2</v>
      </c>
      <c r="BO160" s="4">
        <v>8.3883103403632794E-2</v>
      </c>
      <c r="BP160" s="4">
        <v>7.1911677992140599E-2</v>
      </c>
      <c r="BQ160" s="4">
        <v>8.6050756746173906E-2</v>
      </c>
      <c r="BR160" s="4">
        <v>5.7695499025207299E-2</v>
      </c>
      <c r="BS160" s="4">
        <v>4.9189750930784301E-2</v>
      </c>
      <c r="BT160" s="4">
        <v>3.76639115368421E-2</v>
      </c>
      <c r="BU160" s="4">
        <v>6.0778440577319702E-2</v>
      </c>
      <c r="BV160" s="4">
        <v>6.9670739583405805E-2</v>
      </c>
      <c r="BW160" s="4">
        <v>9.9363300781683997E-2</v>
      </c>
      <c r="BX160" s="4">
        <v>3.9816265234365801E-2</v>
      </c>
      <c r="BY160" s="4">
        <v>6.5372795426431901E-2</v>
      </c>
      <c r="BZ160" s="4">
        <v>7.4810753232427002E-2</v>
      </c>
      <c r="CA160" s="4">
        <v>5.58833725590391E-2</v>
      </c>
      <c r="CB160" s="4">
        <v>4.76642625216274E-2</v>
      </c>
      <c r="CC160" s="4">
        <v>3.6493236671986999E-2</v>
      </c>
      <c r="CD160" s="4">
        <v>5.8896203830209798E-2</v>
      </c>
      <c r="CE160" s="4">
        <v>3.8463003173010497E-2</v>
      </c>
      <c r="CF160" s="4">
        <v>3.9836841644881597E-2</v>
      </c>
      <c r="CG160" s="4">
        <v>3.7081673177786698E-2</v>
      </c>
      <c r="CH160" s="4">
        <v>3.2875371689575002E-2</v>
      </c>
      <c r="CI160" s="4">
        <v>3.21725499445615E-2</v>
      </c>
      <c r="CJ160" s="4">
        <v>3.3582025912440402E-2</v>
      </c>
      <c r="CK160" s="4">
        <v>1.4606882394739401E-2</v>
      </c>
      <c r="CL160" s="4">
        <v>1.58670184145146E-2</v>
      </c>
      <c r="CM160" s="4">
        <v>1.33398748696069E-2</v>
      </c>
      <c r="CN160" s="4">
        <v>3.2460934212514003E-2</v>
      </c>
      <c r="CO160" s="4">
        <v>3.4932161159887502E-2</v>
      </c>
      <c r="CP160" s="4">
        <v>2.9976231696676601E-2</v>
      </c>
      <c r="CQ160" s="4">
        <v>1.7068857102094898E-2</v>
      </c>
      <c r="CR160" s="4">
        <v>9.6459819849428596E-3</v>
      </c>
      <c r="CS160" s="4">
        <v>2.4532209060900999E-2</v>
      </c>
      <c r="CT160" s="1">
        <f>Table1[[#This Row],[Female %]]*Table1[[#This Row],[NWS_pin]]</f>
        <v>38158.975947243714</v>
      </c>
      <c r="CU160" s="1">
        <f>Table1[[#This Row],[Male %]]*Table1[[#This Row],[NWS_pin]]</f>
        <v>37952.024052756286</v>
      </c>
      <c r="CV160" s="1">
        <f>Table1[[#This Row],[Female% (0-2)22]]+Table1[[#This Row],[Male%(0-2)3]]</f>
        <v>4510.5537092152354</v>
      </c>
      <c r="CW160" s="1">
        <f>$CT160*Table1[[#This Row],[Female% (0-2)]]</f>
        <v>2371.8838545437347</v>
      </c>
      <c r="CX160" s="1">
        <f>$CU160*Table1[[#This Row],[Male%(0-2)]]</f>
        <v>2138.6698546715002</v>
      </c>
      <c r="CY160" s="1">
        <f>Table1[[#This Row],[Female%  (3-5)5]]+Table1[[#This Row],[Male% (3-5)6]]</f>
        <v>12255.695041249681</v>
      </c>
      <c r="CZ160" s="1">
        <f>$AF160*Table1[[#This Row],[Female%  (3-5)]]</f>
        <v>8339.9085593180116</v>
      </c>
      <c r="DA160" s="1">
        <f>$CU160*Table1[[#This Row],[Male% (3-5)]]</f>
        <v>3915.7864819316683</v>
      </c>
      <c r="DB160" s="1">
        <f>Table1[[#This Row],[Female% (6-8)8]]+Table1[[#This Row],[Male%(6-8)9]]</f>
        <v>6373.0080150929971</v>
      </c>
      <c r="DC160" s="1">
        <f>$CT160*Table1[[#This Row],[Female% (6-8)]]</f>
        <v>3001.9287820472687</v>
      </c>
      <c r="DD160" s="1">
        <f>$CU160*Table1[[#This Row],[Male%(6-8)]]</f>
        <v>3371.0792330457289</v>
      </c>
      <c r="DE160" s="1">
        <f>Table1[[#This Row],[Female% (9 - 11)11]]+Table1[[#This Row],[Male% (9 - 11)12]]</f>
        <v>7461.2511597371276</v>
      </c>
      <c r="DF160" s="1">
        <f>$CT160*Table1[[#This Row],[Female% (9 - 11)]]</f>
        <v>3580.1899865867122</v>
      </c>
      <c r="DG160" s="1">
        <f>$CU160*Table1[[#This Row],[Male% (9 - 11)]]</f>
        <v>3881.0611731504155</v>
      </c>
      <c r="DH160" s="1">
        <f>Table1[[#This Row],[Female% (12-14)14]]+Table1[[#This Row],[Male%(12-14)15]]</f>
        <v>4766.5367176359759</v>
      </c>
      <c r="DI160" s="1">
        <f>$CT160*Table1[[#This Row],[Female% (12-14)]]</f>
        <v>2230.9314058763125</v>
      </c>
      <c r="DJ160" s="1">
        <f>$CU160*Table1[[#This Row],[Male%(12-14)]]</f>
        <v>2535.605311759663</v>
      </c>
      <c r="DK160" s="1">
        <f>Table1[[#This Row],[Female% (15-17)17]]+Table1[[#This Row],[Male%(15-17)18]]</f>
        <v>7465.0677596621572</v>
      </c>
      <c r="DL160" s="1">
        <f>$CT160*Table1[[#This Row],[Female% (15-17)]]</f>
        <v>4159.1415387857214</v>
      </c>
      <c r="DM160" s="1">
        <f>$CU160*Table1[[#This Row],[Male%(15-17)]]</f>
        <v>3305.9262208764353</v>
      </c>
      <c r="DN160" s="1">
        <f>$AF160*Table1[[#This Row],[Total% (18-19)]]</f>
        <v>4003.1379814404531</v>
      </c>
      <c r="DO160" s="1">
        <f>$CT160*Table1[[#This Row],[Female% (18-19)]]</f>
        <v>819.60442344593639</v>
      </c>
      <c r="DP160" s="1">
        <f>$CU160*Table1[[#This Row],[Male%(18-19)]]</f>
        <v>3183.5335579945145</v>
      </c>
      <c r="DQ160" s="1">
        <f>$AF160*Table1[[#This Row],[Total% (20-24)]]</f>
        <v>5473.2697236598133</v>
      </c>
      <c r="DR160" s="1">
        <f>$CT160*Table1[[#This Row],[Female% (20-24)]]</f>
        <v>3283.6087569193701</v>
      </c>
      <c r="DS160" s="1">
        <f>$CU160*Table1[[#This Row],[Male% (20-24)]]</f>
        <v>2189.6609667404441</v>
      </c>
      <c r="DT160" s="1">
        <f>$AF160*Table1[[#This Row],[Total% (25-29)]]</f>
        <v>3743.8811330929238</v>
      </c>
      <c r="DU160" s="1">
        <f>$CT160*Table1[[#This Row],[Female% (25-29)]]</f>
        <v>1437.2162944134727</v>
      </c>
      <c r="DV160" s="1">
        <f>$CU160*Table1[[#This Row],[Male% (25-29)]]</f>
        <v>2306.6648386794559</v>
      </c>
      <c r="DW160" s="1">
        <f>$AF160*Table1[[#This Row],[Total%   (30-34)]]</f>
        <v>5302.7096604325989</v>
      </c>
      <c r="DX160" s="1">
        <f>$CT160*Table1[[#This Row],[Female%   (30-34)]]</f>
        <v>3791.6018045670221</v>
      </c>
      <c r="DY160" s="1">
        <f>$CU160*Table1[[#This Row],[Male%  (30-34)]]</f>
        <v>1511.1078558655747</v>
      </c>
      <c r="DZ160" s="1">
        <f>$AF160*Table1[[#This Row],[Total% (35-39)]]</f>
        <v>4975.588832701158</v>
      </c>
      <c r="EA160" s="1">
        <f>$CT160*Table1[[#This Row],[Female% (35-39)]]</f>
        <v>2854.7017331913671</v>
      </c>
      <c r="EB160" s="1">
        <f>$CU160*Table1[[#This Row],[Male% (35-39)]]</f>
        <v>2120.8870995097927</v>
      </c>
      <c r="EC160" s="1">
        <f>$AF160*Table1[[#This Row],[Total% (40-44)]]</f>
        <v>3627.7746847835829</v>
      </c>
      <c r="ED160" s="1">
        <f>$CT160*Table1[[#This Row],[Female% (40-44)]]</f>
        <v>1392.5445404034242</v>
      </c>
      <c r="EE160" s="1">
        <f>$CU160*Table1[[#This Row],[Male%(55-59)]]</f>
        <v>2235.2301443801593</v>
      </c>
      <c r="EF160" s="1">
        <f>$AF160*Table1[[#This Row],[Total% (45-49)]]</f>
        <v>2927.4576345010018</v>
      </c>
      <c r="EG160" s="1">
        <f>$CT160*Table1[[#This Row],[Female% (45-49)]]</f>
        <v>1520.1330821411937</v>
      </c>
      <c r="EH160" s="1">
        <f>$CU160*Table1[[#This Row],[Male% (45-49)]]</f>
        <v>1407.3245523598084</v>
      </c>
      <c r="EI160" s="1">
        <f>$AF160*Table1[[#This Row],[Total% (50-54)]]</f>
        <v>2502.1774146652428</v>
      </c>
      <c r="EJ160" s="1">
        <f>$CT160*Table1[[#This Row],[Female%(50-54)]]</f>
        <v>1227.6715594960194</v>
      </c>
      <c r="EK160" s="1">
        <f>$CU160*Table1[[#This Row],[Male% (50-54)]]</f>
        <v>1274.505855169223</v>
      </c>
      <c r="EL160" s="1">
        <f>$AF160*Table1[[#This Row],[Total% (55-59)]]</f>
        <v>1111.7444259460106</v>
      </c>
      <c r="EM160" s="1">
        <f>$CT160*Table1[[#This Row],[Female% (55-59)]]</f>
        <v>605.4691740339357</v>
      </c>
      <c r="EN160" s="1">
        <f>$CU160*Table1[[#This Row],[Male% (55-59)]]</f>
        <v>506.27525191208019</v>
      </c>
      <c r="EO160" s="1">
        <f>$AF160*Table1[[#This Row],[Total% (60-64)]]</f>
        <v>2470.6341638486533</v>
      </c>
      <c r="EP160" s="1">
        <f>$CT160*Table1[[#This Row],[Female%(60-64)]]</f>
        <v>1332.9754974853884</v>
      </c>
      <c r="EQ160" s="1">
        <f>$CU160*Table1[[#This Row],[Male%(60-64)]]</f>
        <v>1137.6586663632656</v>
      </c>
      <c r="ER160" s="1">
        <f>$AF160*Table1[[#This Row],[Total% (&gt;=65)]]</f>
        <v>1299.1277828975449</v>
      </c>
      <c r="ES160" s="1">
        <f>$CT160*Table1[[#This Row],[Female%(&gt;=65)]]</f>
        <v>368.08079455098078</v>
      </c>
      <c r="ET160" s="1">
        <f>$CU160*Table1[[#This Row],[Male% (&gt;=65)]]</f>
        <v>931.0469883465604</v>
      </c>
    </row>
    <row r="161" spans="1:150" x14ac:dyDescent="0.35">
      <c r="A161" t="s">
        <v>192</v>
      </c>
      <c r="B161" t="s">
        <v>193</v>
      </c>
      <c r="C161" t="s">
        <v>211</v>
      </c>
      <c r="D161" t="s">
        <v>212</v>
      </c>
      <c r="E161" t="s">
        <v>213</v>
      </c>
      <c r="F161" t="s">
        <v>214</v>
      </c>
      <c r="G161" t="s">
        <v>1143</v>
      </c>
      <c r="H161">
        <v>4</v>
      </c>
      <c r="I161" s="1">
        <v>0</v>
      </c>
      <c r="J161" s="1">
        <v>11538</v>
      </c>
      <c r="K161" s="1">
        <v>853817</v>
      </c>
      <c r="L161" s="1">
        <v>288452</v>
      </c>
      <c r="M161" s="1">
        <v>0</v>
      </c>
      <c r="N161" s="1">
        <v>1142269</v>
      </c>
      <c r="O161" s="3">
        <v>0</v>
      </c>
      <c r="P161" s="3">
        <v>0</v>
      </c>
      <c r="Q161" s="3">
        <v>1</v>
      </c>
      <c r="R161" s="3">
        <v>0</v>
      </c>
      <c r="S161" s="3">
        <v>0</v>
      </c>
      <c r="T161" s="1">
        <v>1153807</v>
      </c>
      <c r="U161" s="1">
        <v>1153803.5</v>
      </c>
      <c r="V161" s="10">
        <f>Table1[[#This Row],[Pop NW+RATAA]]*Table1[[#This Row],[Perc_pop_Northern_Aleppo]]</f>
        <v>284.72929413169328</v>
      </c>
      <c r="W161" s="10">
        <f>Table1[[#This Row],[Pop NW+RATAA]]*Table1[[#This Row],[Perc_pop_Afrin District]]</f>
        <v>284.72929413169328</v>
      </c>
      <c r="X161" s="10">
        <f>Table1[[#This Row],[Pop NW+RATAA]]*Table1[[#This Row],[Perc_pop_Euphrates Shiled]]</f>
        <v>0</v>
      </c>
      <c r="Y161" s="10">
        <f>Table1[[#This Row],[Pop NW+RATAA]]*Table1[[#This Row],[Perc_Pop_Idleb_NSAG]]</f>
        <v>1153518.7707058683</v>
      </c>
      <c r="Z161" s="3">
        <v>2.4677451067854557E-4</v>
      </c>
      <c r="AA161" s="3">
        <v>2.4677451067854557E-4</v>
      </c>
      <c r="AB161" s="3">
        <v>0</v>
      </c>
      <c r="AC161" s="3">
        <v>0.99975322548932144</v>
      </c>
      <c r="AD161" s="1">
        <v>0</v>
      </c>
      <c r="AE161" s="1">
        <v>0</v>
      </c>
      <c r="AF161" s="1">
        <v>1142269</v>
      </c>
      <c r="AG161" s="1">
        <v>0</v>
      </c>
      <c r="AH161" s="1">
        <v>0</v>
      </c>
      <c r="AI161" s="1">
        <f>Table1[[#This Row],[NWS_pin]]*Table1[[#This Row],[Perc_pop_Northern_Aleppo]]</f>
        <v>281.88287353827155</v>
      </c>
      <c r="AJ161" s="1">
        <f>Table1[[#This Row],[NWS_pin]]*Table1[[#This Row],[Perc_pop_Afrin District]]</f>
        <v>281.88287353827155</v>
      </c>
      <c r="AK161" s="1">
        <f>Table1[[#This Row],[NWS_pin]]*Table1[[#This Row],[Perc_pop_Euphrates Shiled]]</f>
        <v>0</v>
      </c>
      <c r="AL161" s="1">
        <f>Table1[[#This Row],[NWS_pin]]*Table1[[#This Row],[Perc_Pop_Idleb_NSAG]]</f>
        <v>1141987.1171264618</v>
      </c>
      <c r="AM161" s="4">
        <v>0.48522984125645802</v>
      </c>
      <c r="AN161" s="4">
        <v>0.51477015874354104</v>
      </c>
      <c r="AO161" s="4">
        <v>0.15909408069317199</v>
      </c>
      <c r="AP161" s="4">
        <v>0.33173870082983498</v>
      </c>
      <c r="AQ161" s="4">
        <v>0.59751651502474901</v>
      </c>
      <c r="AR161" s="4">
        <v>2.9310282945385499E-2</v>
      </c>
      <c r="AS161" s="4">
        <v>0</v>
      </c>
      <c r="AT161" s="4">
        <v>4.1434501200031497E-2</v>
      </c>
      <c r="AU161" s="4">
        <v>7.0330735231622699E-2</v>
      </c>
      <c r="AV161" s="4">
        <v>7.5266727205315895E-2</v>
      </c>
      <c r="AW161" s="4">
        <v>6.5677997381230799E-2</v>
      </c>
      <c r="AX161" s="4">
        <v>0.111262402582105</v>
      </c>
      <c r="AY161" s="4">
        <v>8.5956210434182903E-2</v>
      </c>
      <c r="AZ161" s="4">
        <v>0.13511638749201799</v>
      </c>
      <c r="BA161" s="4">
        <v>9.1305393828074205E-2</v>
      </c>
      <c r="BB161" s="4">
        <v>8.1612933557409395E-2</v>
      </c>
      <c r="BC161" s="4">
        <v>0.10044164789920899</v>
      </c>
      <c r="BD161" s="4">
        <v>6.3613775793215796E-2</v>
      </c>
      <c r="BE161" s="4">
        <v>6.2978254129000696E-2</v>
      </c>
      <c r="BF161" s="4">
        <v>6.4212827760398203E-2</v>
      </c>
      <c r="BG161" s="4">
        <v>3.8511093251234002E-2</v>
      </c>
      <c r="BH161" s="4">
        <v>2.5231206956999801E-2</v>
      </c>
      <c r="BI161" s="4">
        <v>5.1028907287275202E-2</v>
      </c>
      <c r="BJ161" s="4">
        <v>4.1845637224163797E-2</v>
      </c>
      <c r="BK161" s="4">
        <v>3.94710818730536E-2</v>
      </c>
      <c r="BL161" s="4">
        <v>4.40839276466043E-2</v>
      </c>
      <c r="BM161" s="4">
        <v>5.8791584006913098E-3</v>
      </c>
      <c r="BN161" s="4">
        <v>8.8753426774227599E-3</v>
      </c>
      <c r="BO161" s="4">
        <v>3.0549115085986402E-3</v>
      </c>
      <c r="BP161" s="4">
        <v>6.4885303036219394E-2</v>
      </c>
      <c r="BQ161" s="4">
        <v>9.2296552897625103E-2</v>
      </c>
      <c r="BR161" s="4">
        <v>3.9047060098136799E-2</v>
      </c>
      <c r="BS161" s="4">
        <v>0.142830182606657</v>
      </c>
      <c r="BT161" s="4">
        <v>0.151590934716196</v>
      </c>
      <c r="BU161" s="4">
        <v>0.13457217020404499</v>
      </c>
      <c r="BV161" s="4">
        <v>0.107333995023187</v>
      </c>
      <c r="BW161" s="4">
        <v>0.113391300787448</v>
      </c>
      <c r="BX161" s="4">
        <v>0.10162429047930201</v>
      </c>
      <c r="BY161" s="4">
        <v>5.59001758079316E-2</v>
      </c>
      <c r="BZ161" s="4">
        <v>4.3838650165752599E-2</v>
      </c>
      <c r="CA161" s="4">
        <v>6.7269545366863207E-2</v>
      </c>
      <c r="CB161" s="4">
        <v>4.7009718324811697E-2</v>
      </c>
      <c r="CC161" s="4">
        <v>4.77987167754126E-2</v>
      </c>
      <c r="CD161" s="4">
        <v>4.6265996905778602E-2</v>
      </c>
      <c r="CE161" s="4">
        <v>4.1426948857384502E-2</v>
      </c>
      <c r="CF161" s="4">
        <v>4.2931972101881002E-2</v>
      </c>
      <c r="CG161" s="4">
        <v>4.0008292049855398E-2</v>
      </c>
      <c r="CH161" s="4">
        <v>3.7819427557034997E-2</v>
      </c>
      <c r="CI161" s="4">
        <v>4.86902978978885E-2</v>
      </c>
      <c r="CJ161" s="4">
        <v>2.7572387008517399E-2</v>
      </c>
      <c r="CK161" s="4">
        <v>3.5822340205400899E-2</v>
      </c>
      <c r="CL161" s="4">
        <v>2.8499656190949602E-2</v>
      </c>
      <c r="CM161" s="4">
        <v>4.2724808698477598E-2</v>
      </c>
      <c r="CN161" s="4">
        <v>1.6405801351001899E-2</v>
      </c>
      <c r="CO161" s="4">
        <v>3.3810371819920602E-2</v>
      </c>
      <c r="CP161" s="4">
        <v>0</v>
      </c>
      <c r="CQ161" s="4">
        <v>2.78179109192641E-2</v>
      </c>
      <c r="CR161" s="4">
        <v>1.7759789813540702E-2</v>
      </c>
      <c r="CS161" s="4">
        <v>3.72988422136903E-2</v>
      </c>
      <c r="CT161" s="1">
        <f>Table1[[#This Row],[Female %]]*Table1[[#This Row],[NWS_pin]]</f>
        <v>554263.00554217305</v>
      </c>
      <c r="CU161" s="1">
        <f>Table1[[#This Row],[Male %]]*Table1[[#This Row],[NWS_pin]]</f>
        <v>588005.9944578259</v>
      </c>
      <c r="CV161" s="1">
        <f>Table1[[#This Row],[Female% (0-2)22]]+Table1[[#This Row],[Male%(0-2)3]]</f>
        <v>80336.618602290342</v>
      </c>
      <c r="CW161" s="1">
        <f>$CT161*Table1[[#This Row],[Female% (0-2)]]</f>
        <v>41717.562438141234</v>
      </c>
      <c r="CX161" s="1">
        <f>$CU161*Table1[[#This Row],[Male%(0-2)]]</f>
        <v>38619.0561641491</v>
      </c>
      <c r="CY161" s="1">
        <f>Table1[[#This Row],[Female%  (3-5)5]]+Table1[[#This Row],[Male% (3-5)6]]</f>
        <v>177634.36033123665</v>
      </c>
      <c r="CZ161" s="1">
        <f>$AF161*Table1[[#This Row],[Female%  (3-5)]]</f>
        <v>98185.114536443667</v>
      </c>
      <c r="DA161" s="1">
        <f>$CU161*Table1[[#This Row],[Male% (3-5)]]</f>
        <v>79449.24579479298</v>
      </c>
      <c r="DB161" s="1">
        <f>Table1[[#This Row],[Female% (6-8)8]]+Table1[[#This Row],[Male%(6-8)9]]</f>
        <v>104295.32090260059</v>
      </c>
      <c r="DC161" s="1">
        <f>$CT161*Table1[[#This Row],[Female% (6-8)]]</f>
        <v>45235.029844643403</v>
      </c>
      <c r="DD161" s="1">
        <f>$CU161*Table1[[#This Row],[Male%(6-8)]]</f>
        <v>59060.291057957184</v>
      </c>
      <c r="DE161" s="1">
        <f>Table1[[#This Row],[Female% (9 - 11)11]]+Table1[[#This Row],[Male% (9 - 11)12]]</f>
        <v>72664.044061540728</v>
      </c>
      <c r="DF161" s="1">
        <f>$CT161*Table1[[#This Row],[Female% (9 - 11)]]</f>
        <v>34906.516417338695</v>
      </c>
      <c r="DG161" s="1">
        <f>$CU161*Table1[[#This Row],[Male% (9 - 11)]]</f>
        <v>37757.527644202033</v>
      </c>
      <c r="DH161" s="1">
        <f>Table1[[#This Row],[Female% (12-14)14]]+Table1[[#This Row],[Male%(12-14)15]]</f>
        <v>43990.027976993748</v>
      </c>
      <c r="DI161" s="1">
        <f>$CT161*Table1[[#This Row],[Female% (12-14)]]</f>
        <v>13984.724601443297</v>
      </c>
      <c r="DJ161" s="1">
        <f>$CU161*Table1[[#This Row],[Male%(12-14)]]</f>
        <v>30005.303375550455</v>
      </c>
      <c r="DK161" s="1">
        <f>Table1[[#This Row],[Female% (15-17)17]]+Table1[[#This Row],[Male%(15-17)18]]</f>
        <v>47798.974186408275</v>
      </c>
      <c r="DL161" s="1">
        <f>$CT161*Table1[[#This Row],[Female% (15-17)]]</f>
        <v>21877.360470959873</v>
      </c>
      <c r="DM161" s="1">
        <f>$CU161*Table1[[#This Row],[Male%(15-17)]]</f>
        <v>25921.613715448406</v>
      </c>
      <c r="DN161" s="1">
        <f>$AF161*Table1[[#This Row],[Total% (18-19)]]</f>
        <v>6715.5803871992621</v>
      </c>
      <c r="DO161" s="1">
        <f>$CT161*Table1[[#This Row],[Female% (18-19)]]</f>
        <v>4919.2741076050561</v>
      </c>
      <c r="DP161" s="1">
        <f>$CU161*Table1[[#This Row],[Male%(18-19)]]</f>
        <v>1796.3062795942005</v>
      </c>
      <c r="DQ161" s="1">
        <f>$AF161*Table1[[#This Row],[Total% (20-24)]]</f>
        <v>74116.470213879293</v>
      </c>
      <c r="DR161" s="1">
        <f>$CT161*Table1[[#This Row],[Female% (20-24)]]</f>
        <v>51156.564810219854</v>
      </c>
      <c r="DS161" s="1">
        <f>$CU161*Table1[[#This Row],[Male% (20-24)]]</f>
        <v>22959.905403659421</v>
      </c>
      <c r="DT161" s="1">
        <f>$AF161*Table1[[#This Row],[Total% (25-29)]]</f>
        <v>163150.48985592349</v>
      </c>
      <c r="DU161" s="1">
        <f>$CT161*Table1[[#This Row],[Female% (25-29)]]</f>
        <v>84021.247088746139</v>
      </c>
      <c r="DV161" s="1">
        <f>$CU161*Table1[[#This Row],[Male% (25-29)]]</f>
        <v>79129.242767177289</v>
      </c>
      <c r="DW161" s="1">
        <f>$AF161*Table1[[#This Row],[Total%   (30-34)]]</f>
        <v>122604.29516114079</v>
      </c>
      <c r="DX161" s="1">
        <f>$CT161*Table1[[#This Row],[Female%   (30-34)]]</f>
        <v>62848.603176787503</v>
      </c>
      <c r="DY161" s="1">
        <f>$CU161*Table1[[#This Row],[Male%  (30-34)]]</f>
        <v>59755.691984352947</v>
      </c>
      <c r="DZ161" s="1">
        <f>$AF161*Table1[[#This Row],[Total% (35-39)]]</f>
        <v>63853.03791995022</v>
      </c>
      <c r="EA161" s="1">
        <f>$CT161*Table1[[#This Row],[Female% (35-39)]]</f>
        <v>24298.141999781918</v>
      </c>
      <c r="EB161" s="1">
        <f>$CU161*Table1[[#This Row],[Male% (35-39)]]</f>
        <v>39554.895920168237</v>
      </c>
      <c r="EC161" s="1">
        <f>$AF161*Table1[[#This Row],[Total% (40-44)]]</f>
        <v>53697.743941164335</v>
      </c>
      <c r="ED161" s="1">
        <f>$CT161*Table1[[#This Row],[Female% (40-44)]]</f>
        <v>26493.060420999274</v>
      </c>
      <c r="EE161" s="1">
        <f>$CU161*Table1[[#This Row],[Male%(55-59)]]</f>
        <v>27204.683520165043</v>
      </c>
      <c r="EF161" s="1">
        <f>$AF161*Table1[[#This Row],[Total% (45-49)]]</f>
        <v>47320.71944437574</v>
      </c>
      <c r="EG161" s="1">
        <f>$CT161*Table1[[#This Row],[Female% (45-49)]]</f>
        <v>23795.60389104129</v>
      </c>
      <c r="EH161" s="1">
        <f>$CU161*Table1[[#This Row],[Male% (45-49)]]</f>
        <v>23525.115553334352</v>
      </c>
      <c r="EI161" s="1">
        <f>$AF161*Table1[[#This Row],[Total% (50-54)]]</f>
        <v>43199.959696146812</v>
      </c>
      <c r="EJ161" s="1">
        <f>$CT161*Table1[[#This Row],[Female%(50-54)]]</f>
        <v>26987.230853627432</v>
      </c>
      <c r="EK161" s="1">
        <f>$CU161*Table1[[#This Row],[Male% (50-54)]]</f>
        <v>16212.728842519313</v>
      </c>
      <c r="EL161" s="1">
        <f>$AF161*Table1[[#This Row],[Total% (55-59)]]</f>
        <v>40918.748724083081</v>
      </c>
      <c r="EM161" s="1">
        <f>$CT161*Table1[[#This Row],[Female% (55-59)]]</f>
        <v>15796.305097314325</v>
      </c>
      <c r="EN161" s="1">
        <f>$CU161*Table1[[#This Row],[Male% (55-59)]]</f>
        <v>25122.443626768691</v>
      </c>
      <c r="EO161" s="1">
        <f>$AF161*Table1[[#This Row],[Total% (60-64)]]</f>
        <v>18739.838303407589</v>
      </c>
      <c r="EP161" s="1">
        <f>$CT161*Table1[[#This Row],[Female%(60-64)]]</f>
        <v>18739.838303407585</v>
      </c>
      <c r="EQ161" s="1">
        <f>$CU161*Table1[[#This Row],[Male%(60-64)]]</f>
        <v>0</v>
      </c>
      <c r="ER161" s="1">
        <f>$AF161*Table1[[#This Row],[Total% (&gt;=65)]]</f>
        <v>31775.537287836883</v>
      </c>
      <c r="ES161" s="1">
        <f>$CT161*Table1[[#This Row],[Female%(&gt;=65)]]</f>
        <v>9843.5944798503388</v>
      </c>
      <c r="ET161" s="1">
        <f>$CU161*Table1[[#This Row],[Male% (&gt;=65)]]</f>
        <v>21931.942807986503</v>
      </c>
    </row>
    <row r="162" spans="1:150" x14ac:dyDescent="0.35">
      <c r="A162" t="s">
        <v>192</v>
      </c>
      <c r="B162" t="s">
        <v>193</v>
      </c>
      <c r="C162" t="s">
        <v>211</v>
      </c>
      <c r="D162" t="s">
        <v>212</v>
      </c>
      <c r="E162" t="s">
        <v>290</v>
      </c>
      <c r="F162" t="s">
        <v>291</v>
      </c>
      <c r="G162" t="s">
        <v>1143</v>
      </c>
      <c r="H162">
        <v>4</v>
      </c>
      <c r="I162" s="1">
        <v>0</v>
      </c>
      <c r="J162" s="1">
        <v>0</v>
      </c>
      <c r="K162" s="1">
        <v>114176</v>
      </c>
      <c r="L162" s="1">
        <v>97413</v>
      </c>
      <c r="M162" s="1">
        <v>0</v>
      </c>
      <c r="N162" s="1">
        <v>211589</v>
      </c>
      <c r="O162" s="3">
        <v>0</v>
      </c>
      <c r="P162" s="3">
        <v>0</v>
      </c>
      <c r="Q162" s="3">
        <v>1</v>
      </c>
      <c r="R162" s="3">
        <v>0</v>
      </c>
      <c r="S162" s="3">
        <v>0</v>
      </c>
      <c r="T162" s="1">
        <v>211589</v>
      </c>
      <c r="U162" s="1">
        <v>211582.5</v>
      </c>
      <c r="V162" s="10">
        <f>Table1[[#This Row],[Pop NW+RATAA]]*Table1[[#This Row],[Perc_pop_Northern_Aleppo]]</f>
        <v>0</v>
      </c>
      <c r="W162" s="10">
        <f>Table1[[#This Row],[Pop NW+RATAA]]*Table1[[#This Row],[Perc_pop_Afrin District]]</f>
        <v>0</v>
      </c>
      <c r="X162" s="10">
        <f>Table1[[#This Row],[Pop NW+RATAA]]*Table1[[#This Row],[Perc_pop_Euphrates Shiled]]</f>
        <v>0</v>
      </c>
      <c r="Y162" s="10">
        <f>Table1[[#This Row],[Pop NW+RATAA]]*Table1[[#This Row],[Perc_Pop_Idleb_NSAG]]</f>
        <v>211582.5</v>
      </c>
      <c r="Z162" s="3">
        <v>0</v>
      </c>
      <c r="AA162" s="3">
        <v>0</v>
      </c>
      <c r="AB162" s="3">
        <v>0</v>
      </c>
      <c r="AC162" s="3">
        <v>1</v>
      </c>
      <c r="AD162" s="1">
        <v>0</v>
      </c>
      <c r="AE162" s="1">
        <v>0</v>
      </c>
      <c r="AF162" s="1">
        <v>211589</v>
      </c>
      <c r="AG162" s="1">
        <v>0</v>
      </c>
      <c r="AH162" s="1">
        <v>0</v>
      </c>
      <c r="AI162" s="1">
        <f>Table1[[#This Row],[NWS_pin]]*Table1[[#This Row],[Perc_pop_Northern_Aleppo]]</f>
        <v>0</v>
      </c>
      <c r="AJ162" s="1">
        <f>Table1[[#This Row],[NWS_pin]]*Table1[[#This Row],[Perc_pop_Afrin District]]</f>
        <v>0</v>
      </c>
      <c r="AK162" s="1">
        <f>Table1[[#This Row],[NWS_pin]]*Table1[[#This Row],[Perc_pop_Euphrates Shiled]]</f>
        <v>0</v>
      </c>
      <c r="AL162" s="1">
        <f>Table1[[#This Row],[NWS_pin]]*Table1[[#This Row],[Perc_Pop_Idleb_NSAG]]</f>
        <v>211589</v>
      </c>
      <c r="AM162" s="4">
        <v>0.47203688743696698</v>
      </c>
      <c r="AN162" s="4">
        <v>0.52796311256303297</v>
      </c>
      <c r="AO162" s="4">
        <v>0.15761852077838601</v>
      </c>
      <c r="AP162" s="4">
        <v>0.55580003173220105</v>
      </c>
      <c r="AQ162" s="4">
        <v>0.39273613227190701</v>
      </c>
      <c r="AR162" s="4">
        <v>8.2612768789015693E-3</v>
      </c>
      <c r="AS162" s="4">
        <v>2.8063074415374399E-3</v>
      </c>
      <c r="AT162" s="4">
        <v>4.0396251675452903E-2</v>
      </c>
      <c r="AU162" s="4">
        <v>4.0360638090606797E-2</v>
      </c>
      <c r="AV162" s="4">
        <v>3.83493378768733E-2</v>
      </c>
      <c r="AW162" s="4">
        <v>4.21588847294357E-2</v>
      </c>
      <c r="AX162" s="4">
        <v>8.4673899676229999E-2</v>
      </c>
      <c r="AY162" s="4">
        <v>9.9042613164099499E-2</v>
      </c>
      <c r="AZ162" s="4">
        <v>7.1827239313234106E-2</v>
      </c>
      <c r="BA162" s="4">
        <v>9.1556564243450406E-2</v>
      </c>
      <c r="BB162" s="4">
        <v>8.4204534692927005E-2</v>
      </c>
      <c r="BC162" s="4">
        <v>9.8129805939307105E-2</v>
      </c>
      <c r="BD162" s="4">
        <v>0.105432259785948</v>
      </c>
      <c r="BE162" s="4">
        <v>9.4382724278688004E-2</v>
      </c>
      <c r="BF162" s="4">
        <v>0.115311336987291</v>
      </c>
      <c r="BG162" s="4">
        <v>0.116259712840468</v>
      </c>
      <c r="BH162" s="4">
        <v>8.8931985296359095E-2</v>
      </c>
      <c r="BI162" s="4">
        <v>0.140692661172832</v>
      </c>
      <c r="BJ162" s="4">
        <v>9.1484087424287194E-2</v>
      </c>
      <c r="BK162" s="4">
        <v>8.55700709210057E-2</v>
      </c>
      <c r="BL162" s="4">
        <v>9.6771642323544502E-2</v>
      </c>
      <c r="BM162" s="4">
        <v>3.07225953259932E-2</v>
      </c>
      <c r="BN162" s="4">
        <v>3.1044528140994999E-2</v>
      </c>
      <c r="BO162" s="4">
        <v>3.04347643007923E-2</v>
      </c>
      <c r="BP162" s="4">
        <v>5.4022032861892999E-2</v>
      </c>
      <c r="BQ162" s="4">
        <v>3.2129803649328603E-2</v>
      </c>
      <c r="BR162" s="4">
        <v>7.3595255859213296E-2</v>
      </c>
      <c r="BS162" s="4">
        <v>6.6487506156878304E-2</v>
      </c>
      <c r="BT162" s="4">
        <v>0.10596494574130499</v>
      </c>
      <c r="BU162" s="4">
        <v>3.1191843899434201E-2</v>
      </c>
      <c r="BV162" s="4">
        <v>6.1275319434787499E-2</v>
      </c>
      <c r="BW162" s="4">
        <v>7.1010911893179096E-2</v>
      </c>
      <c r="BX162" s="4">
        <v>5.2571001553364798E-2</v>
      </c>
      <c r="BY162" s="4">
        <v>6.87272319670061E-2</v>
      </c>
      <c r="BZ162" s="4">
        <v>7.9509665928693699E-2</v>
      </c>
      <c r="CA162" s="4">
        <v>5.9086962703569598E-2</v>
      </c>
      <c r="CB162" s="4">
        <v>4.4231774627497097E-2</v>
      </c>
      <c r="CC162" s="4">
        <v>5.2612272963566499E-2</v>
      </c>
      <c r="CD162" s="4">
        <v>3.6739008076961698E-2</v>
      </c>
      <c r="CE162" s="4">
        <v>4.8451980303716301E-2</v>
      </c>
      <c r="CF162" s="4">
        <v>4.8957127116015901E-2</v>
      </c>
      <c r="CG162" s="4">
        <v>4.8000342825069299E-2</v>
      </c>
      <c r="CH162" s="4">
        <v>4.8088394696156903E-2</v>
      </c>
      <c r="CI162" s="4">
        <v>5.2059057415978202E-2</v>
      </c>
      <c r="CJ162" s="4">
        <v>4.4538337454037201E-2</v>
      </c>
      <c r="CK162" s="4">
        <v>2.2909279572815099E-2</v>
      </c>
      <c r="CL162" s="4">
        <v>1.2956333730703399E-2</v>
      </c>
      <c r="CM162" s="4">
        <v>3.1807926967576498E-2</v>
      </c>
      <c r="CN162" s="4">
        <v>1.3221219385202E-2</v>
      </c>
      <c r="CO162" s="4">
        <v>8.7256278900949905E-3</v>
      </c>
      <c r="CP162" s="4">
        <v>1.72406005996141E-2</v>
      </c>
      <c r="CQ162" s="4">
        <v>1.20955036070642E-2</v>
      </c>
      <c r="CR162" s="4">
        <v>1.4548459300187E-2</v>
      </c>
      <c r="CS162" s="4">
        <v>9.9023852947232403E-3</v>
      </c>
      <c r="CT162" s="1">
        <f>Table1[[#This Row],[Female %]]*Table1[[#This Row],[NWS_pin]]</f>
        <v>99877.812975900408</v>
      </c>
      <c r="CU162" s="1">
        <f>Table1[[#This Row],[Male %]]*Table1[[#This Row],[NWS_pin]]</f>
        <v>111711.18702409958</v>
      </c>
      <c r="CV162" s="1">
        <f>Table1[[#This Row],[Female% (0-2)22]]+Table1[[#This Row],[Male%(0-2)3]]</f>
        <v>8539.867052953412</v>
      </c>
      <c r="CW162" s="1">
        <f>$CT162*Table1[[#This Row],[Female% (0-2)]]</f>
        <v>3830.247996215965</v>
      </c>
      <c r="CX162" s="1">
        <f>$CU162*Table1[[#This Row],[Male%(0-2)]]</f>
        <v>4709.619056737447</v>
      </c>
      <c r="CY162" s="1">
        <f>Table1[[#This Row],[Female%  (3-5)5]]+Table1[[#This Row],[Male% (3-5)6]]</f>
        <v>28980.233641124105</v>
      </c>
      <c r="CZ162" s="1">
        <f>$AF162*Table1[[#This Row],[Female%  (3-5)]]</f>
        <v>20956.32747677865</v>
      </c>
      <c r="DA162" s="1">
        <f>$CU162*Table1[[#This Row],[Male% (3-5)]]</f>
        <v>8023.9061643454534</v>
      </c>
      <c r="DB162" s="1">
        <f>Table1[[#This Row],[Female% (6-8)8]]+Table1[[#This Row],[Male%(6-8)9]]</f>
        <v>19372.361871707413</v>
      </c>
      <c r="DC162" s="1">
        <f>$CT162*Table1[[#This Row],[Female% (6-8)]]</f>
        <v>8410.1647677828805</v>
      </c>
      <c r="DD162" s="1">
        <f>$CU162*Table1[[#This Row],[Male%(6-8)]]</f>
        <v>10962.197103924533</v>
      </c>
      <c r="DE162" s="1">
        <f>Table1[[#This Row],[Female% (9 - 11)11]]+Table1[[#This Row],[Male% (9 - 11)12]]</f>
        <v>22308.306415849009</v>
      </c>
      <c r="DF162" s="1">
        <f>$CT162*Table1[[#This Row],[Female% (9 - 11)]]</f>
        <v>9426.7400836627749</v>
      </c>
      <c r="DG162" s="1">
        <f>$CU162*Table1[[#This Row],[Male% (9 - 11)]]</f>
        <v>12881.566332186236</v>
      </c>
      <c r="DH162" s="1">
        <f>Table1[[#This Row],[Female% (12-14)14]]+Table1[[#This Row],[Male%(12-14)15]]</f>
        <v>24599.276380201787</v>
      </c>
      <c r="DI162" s="1">
        <f>$CT162*Table1[[#This Row],[Female% (12-14)]]</f>
        <v>8882.3321950052796</v>
      </c>
      <c r="DJ162" s="1">
        <f>$CU162*Table1[[#This Row],[Male%(12-14)]]</f>
        <v>15716.944185196508</v>
      </c>
      <c r="DK162" s="1">
        <f>Table1[[#This Row],[Female% (15-17)17]]+Table1[[#This Row],[Male%(15-17)18]]</f>
        <v>19357.026574017495</v>
      </c>
      <c r="DL162" s="1">
        <f>$CT162*Table1[[#This Row],[Female% (15-17)]]</f>
        <v>8546.5515397827421</v>
      </c>
      <c r="DM162" s="1">
        <f>$CU162*Table1[[#This Row],[Male%(15-17)]]</f>
        <v>10810.475034234751</v>
      </c>
      <c r="DN162" s="1">
        <f>$AF162*Table1[[#This Row],[Total% (18-19)]]</f>
        <v>6500.563222431575</v>
      </c>
      <c r="DO162" s="1">
        <f>$CT162*Table1[[#This Row],[Female% (18-19)]]</f>
        <v>3100.6595755913759</v>
      </c>
      <c r="DP162" s="1">
        <f>$CU162*Table1[[#This Row],[Male%(18-19)]]</f>
        <v>3399.9036468401978</v>
      </c>
      <c r="DQ162" s="1">
        <f>$AF162*Table1[[#This Row],[Total% (20-24)]]</f>
        <v>11430.467911215077</v>
      </c>
      <c r="DR162" s="1">
        <f>$CT162*Table1[[#This Row],[Female% (20-24)]]</f>
        <v>3209.0545198400446</v>
      </c>
      <c r="DS162" s="1">
        <f>$CU162*Table1[[#This Row],[Male% (20-24)]]</f>
        <v>8221.4133913750375</v>
      </c>
      <c r="DT162" s="1">
        <f>$AF162*Table1[[#This Row],[Total% (25-29)]]</f>
        <v>14068.024940227724</v>
      </c>
      <c r="DU162" s="1">
        <f>$CT162*Table1[[#This Row],[Female% (25-29)]]</f>
        <v>10583.547032751494</v>
      </c>
      <c r="DV162" s="1">
        <f>$CU162*Table1[[#This Row],[Male% (25-29)]]</f>
        <v>3484.4779074762137</v>
      </c>
      <c r="DW162" s="1">
        <f>$AF162*Table1[[#This Row],[Total%   (30-34)]]</f>
        <v>12965.183563887253</v>
      </c>
      <c r="DX162" s="1">
        <f>$CT162*Table1[[#This Row],[Female%   (30-34)]]</f>
        <v>7092.414577315084</v>
      </c>
      <c r="DY162" s="1">
        <f>$CU162*Table1[[#This Row],[Male%  (30-34)]]</f>
        <v>5872.7689865721641</v>
      </c>
      <c r="DZ162" s="1">
        <f>$AF162*Table1[[#This Row],[Total% (35-39)]]</f>
        <v>14541.926284666853</v>
      </c>
      <c r="EA162" s="1">
        <f>$CT162*Table1[[#This Row],[Female% (35-39)]]</f>
        <v>7941.2515434023899</v>
      </c>
      <c r="EB162" s="1">
        <f>$CU162*Table1[[#This Row],[Male% (35-39)]]</f>
        <v>6600.67474126446</v>
      </c>
      <c r="EC162" s="1">
        <f>$AF162*Table1[[#This Row],[Total% (40-44)]]</f>
        <v>9358.9569616574827</v>
      </c>
      <c r="ED162" s="1">
        <f>$CT162*Table1[[#This Row],[Female% (40-44)]]</f>
        <v>5254.7987592921163</v>
      </c>
      <c r="EE162" s="1">
        <f>$CU162*Table1[[#This Row],[Male%(55-59)]]</f>
        <v>4104.1582023653727</v>
      </c>
      <c r="EF162" s="1">
        <f>$AF162*Table1[[#This Row],[Total% (45-49)]]</f>
        <v>10251.906060483028</v>
      </c>
      <c r="EG162" s="1">
        <f>$CT162*Table1[[#This Row],[Female% (45-49)]]</f>
        <v>4889.7307859308185</v>
      </c>
      <c r="EH162" s="1">
        <f>$CU162*Table1[[#This Row],[Male% (45-49)]]</f>
        <v>5362.1752745522126</v>
      </c>
      <c r="EI162" s="1">
        <f>$AF162*Table1[[#This Row],[Total% (50-54)]]</f>
        <v>10174.975345365143</v>
      </c>
      <c r="EJ162" s="1">
        <f>$CT162*Table1[[#This Row],[Female%(50-54)]]</f>
        <v>5199.5448002947323</v>
      </c>
      <c r="EK162" s="1">
        <f>$CU162*Table1[[#This Row],[Male% (50-54)]]</f>
        <v>4975.4305450704087</v>
      </c>
      <c r="EL162" s="1">
        <f>$AF162*Table1[[#This Row],[Total% (55-59)]]</f>
        <v>4847.3515555323738</v>
      </c>
      <c r="EM162" s="1">
        <f>$CT162*Table1[[#This Row],[Female% (55-59)]]</f>
        <v>1294.050277208544</v>
      </c>
      <c r="EN162" s="1">
        <f>$CU162*Table1[[#This Row],[Male% (55-59)]]</f>
        <v>3553.3012783238387</v>
      </c>
      <c r="EO162" s="1">
        <f>$AF162*Table1[[#This Row],[Total% (60-64)]]</f>
        <v>2797.4645884955057</v>
      </c>
      <c r="EP162" s="1">
        <f>$CT162*Table1[[#This Row],[Female%(60-64)]]</f>
        <v>871.49663050420793</v>
      </c>
      <c r="EQ162" s="1">
        <f>$CU162*Table1[[#This Row],[Male%(60-64)]]</f>
        <v>1925.967957991294</v>
      </c>
      <c r="ER162" s="1">
        <f>$AF162*Table1[[#This Row],[Total% (&gt;=65)]]</f>
        <v>2559.2755127151067</v>
      </c>
      <c r="ES162" s="1">
        <f>$CT162*Table1[[#This Row],[Female%(&gt;=65)]]</f>
        <v>1453.0682970715761</v>
      </c>
      <c r="ET162" s="1">
        <f>$CU162*Table1[[#This Row],[Male% (&gt;=65)]]</f>
        <v>1106.2072156435213</v>
      </c>
    </row>
    <row r="163" spans="1:150" x14ac:dyDescent="0.35">
      <c r="A163" t="s">
        <v>192</v>
      </c>
      <c r="B163" t="s">
        <v>193</v>
      </c>
      <c r="C163" t="s">
        <v>211</v>
      </c>
      <c r="D163" t="s">
        <v>212</v>
      </c>
      <c r="E163" t="s">
        <v>275</v>
      </c>
      <c r="F163" t="s">
        <v>276</v>
      </c>
      <c r="G163" t="s">
        <v>1143</v>
      </c>
      <c r="H163">
        <v>3</v>
      </c>
      <c r="I163" s="1">
        <v>0</v>
      </c>
      <c r="J163" s="1">
        <v>11722</v>
      </c>
      <c r="K163" s="1">
        <v>22973</v>
      </c>
      <c r="L163" s="1">
        <v>1483</v>
      </c>
      <c r="M163" s="1">
        <v>0</v>
      </c>
      <c r="N163" s="1">
        <v>24456</v>
      </c>
      <c r="O163" s="3">
        <v>0</v>
      </c>
      <c r="P163" s="3">
        <v>0</v>
      </c>
      <c r="Q163" s="3">
        <v>1</v>
      </c>
      <c r="R163" s="3">
        <v>0</v>
      </c>
      <c r="S163" s="3">
        <v>0</v>
      </c>
      <c r="T163" s="1">
        <v>36178</v>
      </c>
      <c r="U163" s="1">
        <v>36175.5</v>
      </c>
      <c r="V163" s="10">
        <f>Table1[[#This Row],[Pop NW+RATAA]]*Table1[[#This Row],[Perc_pop_Northern_Aleppo]]</f>
        <v>0</v>
      </c>
      <c r="W163" s="10">
        <f>Table1[[#This Row],[Pop NW+RATAA]]*Table1[[#This Row],[Perc_pop_Afrin District]]</f>
        <v>0</v>
      </c>
      <c r="X163" s="10">
        <f>Table1[[#This Row],[Pop NW+RATAA]]*Table1[[#This Row],[Perc_pop_Euphrates Shiled]]</f>
        <v>0</v>
      </c>
      <c r="Y163" s="10">
        <f>Table1[[#This Row],[Pop NW+RATAA]]*Table1[[#This Row],[Perc_Pop_Idleb_NSAG]]</f>
        <v>36175.5</v>
      </c>
      <c r="Z163" s="3">
        <v>0</v>
      </c>
      <c r="AA163" s="3">
        <v>0</v>
      </c>
      <c r="AB163" s="3">
        <v>0</v>
      </c>
      <c r="AC163" s="3">
        <v>1</v>
      </c>
      <c r="AD163" s="1">
        <v>0</v>
      </c>
      <c r="AE163" s="1">
        <v>0</v>
      </c>
      <c r="AF163" s="1">
        <v>24456</v>
      </c>
      <c r="AG163" s="1">
        <v>0</v>
      </c>
      <c r="AH163" s="1">
        <v>0</v>
      </c>
      <c r="AI163" s="1">
        <f>Table1[[#This Row],[NWS_pin]]*Table1[[#This Row],[Perc_pop_Northern_Aleppo]]</f>
        <v>0</v>
      </c>
      <c r="AJ163" s="1">
        <f>Table1[[#This Row],[NWS_pin]]*Table1[[#This Row],[Perc_pop_Afrin District]]</f>
        <v>0</v>
      </c>
      <c r="AK163" s="1">
        <f>Table1[[#This Row],[NWS_pin]]*Table1[[#This Row],[Perc_pop_Euphrates Shiled]]</f>
        <v>0</v>
      </c>
      <c r="AL163" s="1">
        <f>Table1[[#This Row],[NWS_pin]]*Table1[[#This Row],[Perc_Pop_Idleb_NSAG]]</f>
        <v>24456</v>
      </c>
      <c r="AM163" s="4">
        <v>0.48337844494764298</v>
      </c>
      <c r="AN163" s="4">
        <v>0.51662155505235696</v>
      </c>
      <c r="AO163" s="4">
        <v>0.126132727972706</v>
      </c>
      <c r="AP163" s="4">
        <v>0.35118430405001999</v>
      </c>
      <c r="AQ163" s="4">
        <v>0.61715491957519997</v>
      </c>
      <c r="AR163" s="4">
        <v>4.2259780340385003E-3</v>
      </c>
      <c r="AS163" s="4">
        <v>0</v>
      </c>
      <c r="AT163" s="4">
        <v>2.7434798340741001E-2</v>
      </c>
      <c r="AU163" s="4">
        <v>7.3211284490724698E-2</v>
      </c>
      <c r="AV163" s="4">
        <v>9.7537576584217606E-2</v>
      </c>
      <c r="AW163" s="4">
        <v>5.0450319276443202E-2</v>
      </c>
      <c r="AX163" s="4">
        <v>0.104171631252093</v>
      </c>
      <c r="AY163" s="4">
        <v>9.6096456923930096E-2</v>
      </c>
      <c r="AZ163" s="4">
        <v>0.111727191354561</v>
      </c>
      <c r="BA163" s="4">
        <v>0.12224938112035499</v>
      </c>
      <c r="BB163" s="4">
        <v>0.10624748816690099</v>
      </c>
      <c r="BC163" s="4">
        <v>0.13722159831960801</v>
      </c>
      <c r="BD163" s="4">
        <v>7.0634519544094401E-2</v>
      </c>
      <c r="BE163" s="4">
        <v>4.7040231921596301E-2</v>
      </c>
      <c r="BF163" s="4">
        <v>9.2710582668201993E-2</v>
      </c>
      <c r="BG163" s="4">
        <v>5.7374307923219001E-2</v>
      </c>
      <c r="BH163" s="4">
        <v>5.45031200788966E-2</v>
      </c>
      <c r="BI163" s="4">
        <v>6.0060743093738399E-2</v>
      </c>
      <c r="BJ163" s="4">
        <v>4.1971555422709202E-2</v>
      </c>
      <c r="BK163" s="4">
        <v>3.0303075440396499E-2</v>
      </c>
      <c r="BL163" s="4">
        <v>5.2889202302892901E-2</v>
      </c>
      <c r="BM163" s="4">
        <v>1.09581419710853E-2</v>
      </c>
      <c r="BN163" s="4">
        <v>3.4934228083623601E-3</v>
      </c>
      <c r="BO163" s="4">
        <v>1.7942527940970399E-2</v>
      </c>
      <c r="BP163" s="4">
        <v>6.5692176399577598E-2</v>
      </c>
      <c r="BQ163" s="4">
        <v>7.9475210582379899E-2</v>
      </c>
      <c r="BR163" s="4">
        <v>5.2796040795502798E-2</v>
      </c>
      <c r="BS163" s="4">
        <v>8.7524621127736194E-2</v>
      </c>
      <c r="BT163" s="4">
        <v>0.121761511318548</v>
      </c>
      <c r="BU163" s="4">
        <v>5.5490776278578298E-2</v>
      </c>
      <c r="BV163" s="4">
        <v>0.113297294998987</v>
      </c>
      <c r="BW163" s="4">
        <v>0.124382258429054</v>
      </c>
      <c r="BX163" s="4">
        <v>0.102925617060415</v>
      </c>
      <c r="BY163" s="4">
        <v>9.9483480562630303E-2</v>
      </c>
      <c r="BZ163" s="4">
        <v>9.5915302356902599E-2</v>
      </c>
      <c r="CA163" s="4">
        <v>0.102822056770907</v>
      </c>
      <c r="CB163" s="4">
        <v>3.8649990704329097E-2</v>
      </c>
      <c r="CC163" s="4">
        <v>1.39864134290604E-2</v>
      </c>
      <c r="CD163" s="4">
        <v>6.17265377697283E-2</v>
      </c>
      <c r="CE163" s="4">
        <v>1.61262737694811E-2</v>
      </c>
      <c r="CF163" s="4">
        <v>1.7558918211271101E-2</v>
      </c>
      <c r="CG163" s="4">
        <v>1.4785815874019999E-2</v>
      </c>
      <c r="CH163" s="4">
        <v>1.97891223678138E-2</v>
      </c>
      <c r="CI163" s="4">
        <v>2.5798972053790399E-2</v>
      </c>
      <c r="CJ163" s="4">
        <v>1.41659892113157E-2</v>
      </c>
      <c r="CK163" s="4">
        <v>1.99479659127881E-2</v>
      </c>
      <c r="CL163" s="4">
        <v>1.3872572085359899E-2</v>
      </c>
      <c r="CM163" s="4">
        <v>2.5632425633887301E-2</v>
      </c>
      <c r="CN163" s="4">
        <v>9.0851728517824908E-3</v>
      </c>
      <c r="CO163" s="4">
        <v>1.3231856985136301E-2</v>
      </c>
      <c r="CP163" s="4">
        <v>5.2053159072412104E-3</v>
      </c>
      <c r="CQ163" s="4">
        <v>4.9833079580593402E-2</v>
      </c>
      <c r="CR163" s="4">
        <v>5.8795612624197302E-2</v>
      </c>
      <c r="CS163" s="4">
        <v>4.1447259741988297E-2</v>
      </c>
      <c r="CT163" s="1">
        <f>Table1[[#This Row],[Female %]]*Table1[[#This Row],[NWS_pin]]</f>
        <v>11821.503249639556</v>
      </c>
      <c r="CU163" s="1">
        <f>Table1[[#This Row],[Male %]]*Table1[[#This Row],[NWS_pin]]</f>
        <v>12634.496750360442</v>
      </c>
      <c r="CV163" s="1">
        <f>Table1[[#This Row],[Female% (0-2)22]]+Table1[[#This Row],[Male%(0-2)3]]</f>
        <v>1790.4551735051639</v>
      </c>
      <c r="CW163" s="1">
        <f>$CT163*Table1[[#This Row],[Female% (0-2)]]</f>
        <v>1153.0407785522955</v>
      </c>
      <c r="CX163" s="1">
        <f>$CU163*Table1[[#This Row],[Male%(0-2)]]</f>
        <v>637.41439495286841</v>
      </c>
      <c r="CY163" s="1">
        <f>Table1[[#This Row],[Female%  (3-5)5]]+Table1[[#This Row],[Male% (3-5)6]]</f>
        <v>3761.7517866277344</v>
      </c>
      <c r="CZ163" s="1">
        <f>$AF163*Table1[[#This Row],[Female%  (3-5)]]</f>
        <v>2350.1349505316343</v>
      </c>
      <c r="DA163" s="1">
        <f>$CU163*Table1[[#This Row],[Male% (3-5)]]</f>
        <v>1411.6168360961001</v>
      </c>
      <c r="DB163" s="1">
        <f>Table1[[#This Row],[Female% (6-8)8]]+Table1[[#This Row],[Male%(6-8)9]]</f>
        <v>2989.7308646794136</v>
      </c>
      <c r="DC163" s="1">
        <f>$CT163*Table1[[#This Row],[Female% (6-8)]]</f>
        <v>1256.0050266310604</v>
      </c>
      <c r="DD163" s="1">
        <f>$CU163*Table1[[#This Row],[Male%(6-8)]]</f>
        <v>1733.7258380483534</v>
      </c>
      <c r="DE163" s="1">
        <f>Table1[[#This Row],[Female% (9 - 11)11]]+Table1[[#This Row],[Male% (9 - 11)12]]</f>
        <v>1727.4378099703702</v>
      </c>
      <c r="DF163" s="1">
        <f>$CT163*Table1[[#This Row],[Female% (9 - 11)]]</f>
        <v>556.08625452494903</v>
      </c>
      <c r="DG163" s="1">
        <f>$CU163*Table1[[#This Row],[Male% (9 - 11)]]</f>
        <v>1171.3515554454211</v>
      </c>
      <c r="DH163" s="1">
        <f>Table1[[#This Row],[Female% (12-14)14]]+Table1[[#This Row],[Male%(12-14)15]]</f>
        <v>1403.1460745702423</v>
      </c>
      <c r="DI163" s="1">
        <f>$CT163*Table1[[#This Row],[Female% (12-14)]]</f>
        <v>644.3088111281711</v>
      </c>
      <c r="DJ163" s="1">
        <f>$CU163*Table1[[#This Row],[Male%(12-14)]]</f>
        <v>758.83726344207116</v>
      </c>
      <c r="DK163" s="1">
        <f>Table1[[#This Row],[Female% (15-17)17]]+Table1[[#This Row],[Male%(15-17)18]]</f>
        <v>1026.4563594177762</v>
      </c>
      <c r="DL163" s="1">
        <f>$CT163*Table1[[#This Row],[Female% (15-17)]]</f>
        <v>358.22790479271981</v>
      </c>
      <c r="DM163" s="1">
        <f>$CU163*Table1[[#This Row],[Male%(15-17)]]</f>
        <v>668.22845462505643</v>
      </c>
      <c r="DN163" s="1">
        <f>$AF163*Table1[[#This Row],[Total% (18-19)]]</f>
        <v>267.99232004486208</v>
      </c>
      <c r="DO163" s="1">
        <f>$CT163*Table1[[#This Row],[Female% (18-19)]]</f>
        <v>41.297509081420586</v>
      </c>
      <c r="DP163" s="1">
        <f>$CU163*Table1[[#This Row],[Male%(18-19)]]</f>
        <v>226.69481096344194</v>
      </c>
      <c r="DQ163" s="1">
        <f>$AF163*Table1[[#This Row],[Total% (20-24)]]</f>
        <v>1606.5678660280698</v>
      </c>
      <c r="DR163" s="1">
        <f>$CT163*Table1[[#This Row],[Female% (20-24)]]</f>
        <v>939.516460165392</v>
      </c>
      <c r="DS163" s="1">
        <f>$CU163*Table1[[#This Row],[Male% (20-24)]]</f>
        <v>667.05140586267748</v>
      </c>
      <c r="DT163" s="1">
        <f>$AF163*Table1[[#This Row],[Total% (25-29)]]</f>
        <v>2140.5021342999162</v>
      </c>
      <c r="DU163" s="1">
        <f>$CT163*Table1[[#This Row],[Female% (25-29)]]</f>
        <v>1439.4041017332388</v>
      </c>
      <c r="DV163" s="1">
        <f>$CU163*Table1[[#This Row],[Male% (25-29)]]</f>
        <v>701.09803256667578</v>
      </c>
      <c r="DW163" s="1">
        <f>$AF163*Table1[[#This Row],[Total%   (30-34)]]</f>
        <v>2770.798646495226</v>
      </c>
      <c r="DX163" s="1">
        <f>$CT163*Table1[[#This Row],[Female%   (30-34)]]</f>
        <v>1470.3852722165689</v>
      </c>
      <c r="DY163" s="1">
        <f>$CU163*Table1[[#This Row],[Male%  (30-34)]]</f>
        <v>1300.4133742786566</v>
      </c>
      <c r="DZ163" s="1">
        <f>$AF163*Table1[[#This Row],[Total% (35-39)]]</f>
        <v>2432.9680006396866</v>
      </c>
      <c r="EA163" s="1">
        <f>$CT163*Table1[[#This Row],[Female% (35-39)]]</f>
        <v>1133.8630585022847</v>
      </c>
      <c r="EB163" s="1">
        <f>$CU163*Table1[[#This Row],[Male% (35-39)]]</f>
        <v>1299.1049421374014</v>
      </c>
      <c r="EC163" s="1">
        <f>$AF163*Table1[[#This Row],[Total% (40-44)]]</f>
        <v>945.22417266507239</v>
      </c>
      <c r="ED163" s="1">
        <f>$CT163*Table1[[#This Row],[Female% (40-44)]]</f>
        <v>165.34043180243984</v>
      </c>
      <c r="EE163" s="1">
        <f>$CU163*Table1[[#This Row],[Male%(55-59)]]</f>
        <v>779.88374086263332</v>
      </c>
      <c r="EF163" s="1">
        <f>$AF163*Table1[[#This Row],[Total% (45-49)]]</f>
        <v>394.38415130642977</v>
      </c>
      <c r="EG163" s="1">
        <f>$CT163*Table1[[#This Row],[Female% (45-49)]]</f>
        <v>207.5728086946965</v>
      </c>
      <c r="EH163" s="1">
        <f>$CU163*Table1[[#This Row],[Male% (45-49)]]</f>
        <v>186.81134261173352</v>
      </c>
      <c r="EI163" s="1">
        <f>$AF163*Table1[[#This Row],[Total% (50-54)]]</f>
        <v>483.9627766272543</v>
      </c>
      <c r="EJ163" s="1">
        <f>$CT163*Table1[[#This Row],[Female%(50-54)]]</f>
        <v>304.98263197124328</v>
      </c>
      <c r="EK163" s="1">
        <f>$CU163*Table1[[#This Row],[Male% (50-54)]]</f>
        <v>178.98014465600929</v>
      </c>
      <c r="EL163" s="1">
        <f>$AF163*Table1[[#This Row],[Total% (55-59)]]</f>
        <v>487.8474543631458</v>
      </c>
      <c r="EM163" s="1">
        <f>$CT163*Table1[[#This Row],[Female% (55-59)]]</f>
        <v>163.99465598794103</v>
      </c>
      <c r="EN163" s="1">
        <f>$CU163*Table1[[#This Row],[Male% (55-59)]]</f>
        <v>323.85279837520477</v>
      </c>
      <c r="EO163" s="1">
        <f>$AF163*Table1[[#This Row],[Total% (60-64)]]</f>
        <v>222.18698726319261</v>
      </c>
      <c r="EP163" s="1">
        <f>$CT163*Table1[[#This Row],[Female%(60-64)]]</f>
        <v>156.42044034855465</v>
      </c>
      <c r="EQ163" s="1">
        <f>$CU163*Table1[[#This Row],[Male%(60-64)]]</f>
        <v>65.766546914638596</v>
      </c>
      <c r="ER163" s="1">
        <f>$AF163*Table1[[#This Row],[Total% (&gt;=65)]]</f>
        <v>1218.7177942229923</v>
      </c>
      <c r="ES163" s="1">
        <f>$CT163*Table1[[#This Row],[Female%(&gt;=65)]]</f>
        <v>695.05252570149696</v>
      </c>
      <c r="ET163" s="1">
        <f>$CU163*Table1[[#This Row],[Male% (&gt;=65)]]</f>
        <v>523.66526852149627</v>
      </c>
    </row>
    <row r="164" spans="1:150" x14ac:dyDescent="0.35">
      <c r="A164" t="s">
        <v>192</v>
      </c>
      <c r="B164" t="s">
        <v>193</v>
      </c>
      <c r="C164" t="s">
        <v>211</v>
      </c>
      <c r="D164" t="s">
        <v>212</v>
      </c>
      <c r="E164" t="s">
        <v>303</v>
      </c>
      <c r="F164" t="s">
        <v>304</v>
      </c>
      <c r="G164" t="s">
        <v>1143</v>
      </c>
      <c r="H164">
        <v>4</v>
      </c>
      <c r="I164" s="1">
        <v>0</v>
      </c>
      <c r="J164" s="1">
        <v>0</v>
      </c>
      <c r="K164" s="1">
        <v>20175</v>
      </c>
      <c r="L164" s="1">
        <v>83261</v>
      </c>
      <c r="M164" s="1">
        <v>0</v>
      </c>
      <c r="N164" s="1">
        <v>103436</v>
      </c>
      <c r="O164" s="3">
        <v>0</v>
      </c>
      <c r="P164" s="3">
        <v>0</v>
      </c>
      <c r="Q164" s="3">
        <v>1</v>
      </c>
      <c r="R164" s="3">
        <v>0</v>
      </c>
      <c r="S164" s="3">
        <v>0</v>
      </c>
      <c r="T164" s="1">
        <v>103436</v>
      </c>
      <c r="U164" s="1">
        <v>103433</v>
      </c>
      <c r="V164" s="10">
        <f>Table1[[#This Row],[Pop NW+RATAA]]*Table1[[#This Row],[Perc_pop_Northern_Aleppo]]</f>
        <v>0</v>
      </c>
      <c r="W164" s="10">
        <f>Table1[[#This Row],[Pop NW+RATAA]]*Table1[[#This Row],[Perc_pop_Afrin District]]</f>
        <v>0</v>
      </c>
      <c r="X164" s="10">
        <f>Table1[[#This Row],[Pop NW+RATAA]]*Table1[[#This Row],[Perc_pop_Euphrates Shiled]]</f>
        <v>0</v>
      </c>
      <c r="Y164" s="10">
        <f>Table1[[#This Row],[Pop NW+RATAA]]*Table1[[#This Row],[Perc_Pop_Idleb_NSAG]]</f>
        <v>103433</v>
      </c>
      <c r="Z164" s="3">
        <v>0</v>
      </c>
      <c r="AA164" s="3">
        <v>0</v>
      </c>
      <c r="AB164" s="3">
        <v>0</v>
      </c>
      <c r="AC164" s="3">
        <v>1</v>
      </c>
      <c r="AD164" s="1">
        <v>0</v>
      </c>
      <c r="AE164" s="1">
        <v>0</v>
      </c>
      <c r="AF164" s="1">
        <v>103436</v>
      </c>
      <c r="AG164" s="1">
        <v>0</v>
      </c>
      <c r="AH164" s="1">
        <v>0</v>
      </c>
      <c r="AI164" s="1">
        <f>Table1[[#This Row],[NWS_pin]]*Table1[[#This Row],[Perc_pop_Northern_Aleppo]]</f>
        <v>0</v>
      </c>
      <c r="AJ164" s="1">
        <f>Table1[[#This Row],[NWS_pin]]*Table1[[#This Row],[Perc_pop_Afrin District]]</f>
        <v>0</v>
      </c>
      <c r="AK164" s="1">
        <f>Table1[[#This Row],[NWS_pin]]*Table1[[#This Row],[Perc_pop_Euphrates Shiled]]</f>
        <v>0</v>
      </c>
      <c r="AL164" s="1">
        <f>Table1[[#This Row],[NWS_pin]]*Table1[[#This Row],[Perc_Pop_Idleb_NSAG]]</f>
        <v>103436</v>
      </c>
      <c r="AM164" s="4">
        <v>0.49202550044820997</v>
      </c>
      <c r="AN164" s="4">
        <v>0.50797449955178997</v>
      </c>
      <c r="AO164" s="4">
        <v>0.16356360326907199</v>
      </c>
      <c r="AP164" s="4">
        <v>0.50916032010145196</v>
      </c>
      <c r="AQ164" s="4">
        <v>0.42970105598411801</v>
      </c>
      <c r="AR164" s="4">
        <v>1.9096181160375699E-2</v>
      </c>
      <c r="AS164" s="4">
        <v>2.6118073619884699E-3</v>
      </c>
      <c r="AT164" s="4">
        <v>3.94306353920654E-2</v>
      </c>
      <c r="AU164" s="4">
        <v>5.8643596710006497E-2</v>
      </c>
      <c r="AV164" s="4">
        <v>7.6862814465046697E-2</v>
      </c>
      <c r="AW164" s="4">
        <v>4.0996412172971203E-2</v>
      </c>
      <c r="AX164" s="4">
        <v>9.3456185075112594E-2</v>
      </c>
      <c r="AY164" s="4">
        <v>7.6702254302636705E-2</v>
      </c>
      <c r="AZ164" s="4">
        <v>0.109684088601915</v>
      </c>
      <c r="BA164" s="4">
        <v>9.9780796735534097E-2</v>
      </c>
      <c r="BB164" s="4">
        <v>8.5156673012753398E-2</v>
      </c>
      <c r="BC164" s="4">
        <v>0.11394576328339499</v>
      </c>
      <c r="BD164" s="4">
        <v>0.110303144275749</v>
      </c>
      <c r="BE164" s="4">
        <v>0.100293411016913</v>
      </c>
      <c r="BF164" s="4">
        <v>0.11999859950111399</v>
      </c>
      <c r="BG164" s="4">
        <v>8.3295580449557399E-2</v>
      </c>
      <c r="BH164" s="4">
        <v>5.4563641550208798E-2</v>
      </c>
      <c r="BI164" s="4">
        <v>0.111125415664264</v>
      </c>
      <c r="BJ164" s="4">
        <v>7.6255379106765706E-2</v>
      </c>
      <c r="BK164" s="4">
        <v>7.2969704982049605E-2</v>
      </c>
      <c r="BL164" s="4">
        <v>7.9437892120607007E-2</v>
      </c>
      <c r="BM164" s="4">
        <v>3.0768172068902599E-2</v>
      </c>
      <c r="BN164" s="4">
        <v>2.45583022339349E-2</v>
      </c>
      <c r="BO164" s="4">
        <v>3.6783069107955098E-2</v>
      </c>
      <c r="BP164" s="4">
        <v>6.3727235499814197E-2</v>
      </c>
      <c r="BQ164" s="4">
        <v>8.6559007935081506E-2</v>
      </c>
      <c r="BR164" s="4">
        <v>4.1612317785452199E-2</v>
      </c>
      <c r="BS164" s="4">
        <v>7.2581672165947103E-2</v>
      </c>
      <c r="BT164" s="4">
        <v>9.5315435571686105E-2</v>
      </c>
      <c r="BU164" s="4">
        <v>5.0561686267738597E-2</v>
      </c>
      <c r="BV164" s="4">
        <v>6.1859261599626902E-2</v>
      </c>
      <c r="BW164" s="4">
        <v>7.9118680862477198E-2</v>
      </c>
      <c r="BX164" s="4">
        <v>4.5141740527718001E-2</v>
      </c>
      <c r="BY164" s="4">
        <v>7.2471098805256706E-2</v>
      </c>
      <c r="BZ164" s="4">
        <v>7.2934900484274201E-2</v>
      </c>
      <c r="CA164" s="4">
        <v>7.2021859220536194E-2</v>
      </c>
      <c r="CB164" s="4">
        <v>4.7088634102057499E-2</v>
      </c>
      <c r="CC164" s="4">
        <v>5.3552135833608801E-2</v>
      </c>
      <c r="CD164" s="4">
        <v>4.0828068508862302E-2</v>
      </c>
      <c r="CE164" s="4">
        <v>4.1723622723169103E-2</v>
      </c>
      <c r="CF164" s="4">
        <v>4.5221275310269697E-2</v>
      </c>
      <c r="CG164" s="4">
        <v>3.8335786786363998E-2</v>
      </c>
      <c r="CH164" s="4">
        <v>2.7600572106972299E-2</v>
      </c>
      <c r="CI164" s="4">
        <v>1.9340113603168198E-2</v>
      </c>
      <c r="CJ164" s="4">
        <v>3.5601674982908199E-2</v>
      </c>
      <c r="CK164" s="4">
        <v>2.82465708510918E-2</v>
      </c>
      <c r="CL164" s="4">
        <v>3.7713914064653999E-2</v>
      </c>
      <c r="CM164" s="4">
        <v>1.90764761186238E-2</v>
      </c>
      <c r="CN164" s="4">
        <v>1.73438430867194E-2</v>
      </c>
      <c r="CO164" s="4">
        <v>4.8020884296831002E-3</v>
      </c>
      <c r="CP164" s="4">
        <v>2.9491821217652699E-2</v>
      </c>
      <c r="CQ164" s="4">
        <v>1.48546346377177E-2</v>
      </c>
      <c r="CR164" s="4">
        <v>1.4335646341554001E-2</v>
      </c>
      <c r="CS164" s="4">
        <v>1.53573281319226E-2</v>
      </c>
      <c r="CT164" s="1">
        <f>Table1[[#This Row],[Female %]]*Table1[[#This Row],[NWS_pin]]</f>
        <v>50893.149664361044</v>
      </c>
      <c r="CU164" s="1">
        <f>Table1[[#This Row],[Male %]]*Table1[[#This Row],[NWS_pin]]</f>
        <v>52542.850335638948</v>
      </c>
      <c r="CV164" s="1">
        <f>Table1[[#This Row],[Female% (0-2)22]]+Table1[[#This Row],[Male%(0-2)3]]</f>
        <v>6065.8590692962289</v>
      </c>
      <c r="CW164" s="1">
        <f>$CT164*Table1[[#This Row],[Female% (0-2)]]</f>
        <v>3911.7907201936364</v>
      </c>
      <c r="CX164" s="1">
        <f>$CU164*Table1[[#This Row],[Male%(0-2)]]</f>
        <v>2154.0683491025925</v>
      </c>
      <c r="CY164" s="1">
        <f>Table1[[#This Row],[Female%  (3-5)5]]+Table1[[#This Row],[Male% (3-5)6]]</f>
        <v>13696.889027658912</v>
      </c>
      <c r="CZ164" s="1">
        <f>$AF164*Table1[[#This Row],[Female%  (3-5)]]</f>
        <v>7933.7743760475305</v>
      </c>
      <c r="DA164" s="1">
        <f>$CU164*Table1[[#This Row],[Male% (3-5)]]</f>
        <v>5763.1146516113822</v>
      </c>
      <c r="DB164" s="1">
        <f>Table1[[#This Row],[Female% (6-8)8]]+Table1[[#This Row],[Male%(6-8)9]]</f>
        <v>10320.926491136681</v>
      </c>
      <c r="DC164" s="1">
        <f>$CT164*Table1[[#This Row],[Female% (6-8)]]</f>
        <v>4333.8913045571135</v>
      </c>
      <c r="DD164" s="1">
        <f>$CU164*Table1[[#This Row],[Male%(6-8)]]</f>
        <v>5987.0351865795665</v>
      </c>
      <c r="DE164" s="1">
        <f>Table1[[#This Row],[Female% (9 - 11)11]]+Table1[[#This Row],[Male% (9 - 11)12]]</f>
        <v>11409.316031306342</v>
      </c>
      <c r="DF164" s="1">
        <f>$CT164*Table1[[#This Row],[Female% (9 - 11)]]</f>
        <v>5104.2475772330299</v>
      </c>
      <c r="DG164" s="1">
        <f>$CU164*Table1[[#This Row],[Male% (9 - 11)]]</f>
        <v>6305.0684540733109</v>
      </c>
      <c r="DH164" s="1">
        <f>Table1[[#This Row],[Female% (12-14)14]]+Table1[[#This Row],[Male%(12-14)15]]</f>
        <v>8615.7616593804159</v>
      </c>
      <c r="DI164" s="1">
        <f>$CT164*Table1[[#This Row],[Female% (12-14)]]</f>
        <v>2776.9155756473251</v>
      </c>
      <c r="DJ164" s="1">
        <f>$CU164*Table1[[#This Row],[Male%(12-14)]]</f>
        <v>5838.8460837330913</v>
      </c>
      <c r="DK164" s="1">
        <f>Table1[[#This Row],[Female% (15-17)17]]+Table1[[#This Row],[Male%(15-17)18]]</f>
        <v>7887.5513932874082</v>
      </c>
      <c r="DL164" s="1">
        <f>$CT164*Table1[[#This Row],[Female% (15-17)]]</f>
        <v>3713.6581166157221</v>
      </c>
      <c r="DM164" s="1">
        <f>$CU164*Table1[[#This Row],[Male%(15-17)]]</f>
        <v>4173.8932766716862</v>
      </c>
      <c r="DN164" s="1">
        <f>$AF164*Table1[[#This Row],[Total% (18-19)]]</f>
        <v>3182.5366461190092</v>
      </c>
      <c r="DO164" s="1">
        <f>$CT164*Table1[[#This Row],[Female% (18-19)]]</f>
        <v>1249.849351094261</v>
      </c>
      <c r="DP164" s="1">
        <f>$CU164*Table1[[#This Row],[Male%(18-19)]]</f>
        <v>1932.6872950247491</v>
      </c>
      <c r="DQ164" s="1">
        <f>$AF164*Table1[[#This Row],[Total% (20-24)]]</f>
        <v>6591.6903311587812</v>
      </c>
      <c r="DR164" s="1">
        <f>$CT164*Table1[[#This Row],[Female% (20-24)]]</f>
        <v>4405.2605456387182</v>
      </c>
      <c r="DS164" s="1">
        <f>$CU164*Table1[[#This Row],[Male% (20-24)]]</f>
        <v>2186.4297855200616</v>
      </c>
      <c r="DT164" s="1">
        <f>$AF164*Table1[[#This Row],[Total% (25-29)]]</f>
        <v>7507.5578421569044</v>
      </c>
      <c r="DU164" s="1">
        <f>$CT164*Table1[[#This Row],[Female% (25-29)]]</f>
        <v>4850.9027278735839</v>
      </c>
      <c r="DV164" s="1">
        <f>$CU164*Table1[[#This Row],[Male% (25-29)]]</f>
        <v>2656.65511428332</v>
      </c>
      <c r="DW164" s="1">
        <f>$AF164*Table1[[#This Row],[Total%   (30-34)]]</f>
        <v>6398.474582819008</v>
      </c>
      <c r="DX164" s="1">
        <f>$CT164*Table1[[#This Row],[Female%   (30-34)]]</f>
        <v>4026.5988663808698</v>
      </c>
      <c r="DY164" s="1">
        <f>$CU164*Table1[[#This Row],[Male%  (30-34)]]</f>
        <v>2371.8757164381341</v>
      </c>
      <c r="DZ164" s="1">
        <f>$AF164*Table1[[#This Row],[Total% (35-39)]]</f>
        <v>7496.120576020533</v>
      </c>
      <c r="EA164" s="1">
        <f>$CT164*Table1[[#This Row],[Female% (35-39)]]</f>
        <v>3711.8868061014459</v>
      </c>
      <c r="EB164" s="1">
        <f>$CU164*Table1[[#This Row],[Male% (35-39)]]</f>
        <v>3784.2337699190912</v>
      </c>
      <c r="EC164" s="1">
        <f>$AF164*Table1[[#This Row],[Total% (40-44)]]</f>
        <v>4870.6599569804193</v>
      </c>
      <c r="ED164" s="1">
        <f>$CT164*Table1[[#This Row],[Female% (40-44)]]</f>
        <v>2725.4368638260448</v>
      </c>
      <c r="EE164" s="1">
        <f>$CU164*Table1[[#This Row],[Male%(55-59)]]</f>
        <v>2145.2230931543654</v>
      </c>
      <c r="EF164" s="1">
        <f>$AF164*Table1[[#This Row],[Total% (45-49)]]</f>
        <v>4315.7246399937194</v>
      </c>
      <c r="EG164" s="1">
        <f>$CT164*Table1[[#This Row],[Female% (45-49)]]</f>
        <v>2301.4531323788306</v>
      </c>
      <c r="EH164" s="1">
        <f>$CU164*Table1[[#This Row],[Male% (45-49)]]</f>
        <v>2014.2715076148888</v>
      </c>
      <c r="EI164" s="1">
        <f>$AF164*Table1[[#This Row],[Total% (50-54)]]</f>
        <v>2854.8927764567866</v>
      </c>
      <c r="EJ164" s="1">
        <f>$CT164*Table1[[#This Row],[Female%(50-54)]]</f>
        <v>984.27929613178412</v>
      </c>
      <c r="EK164" s="1">
        <f>$CU164*Table1[[#This Row],[Male% (50-54)]]</f>
        <v>1870.6134803250068</v>
      </c>
      <c r="EL164" s="1">
        <f>$AF164*Table1[[#This Row],[Total% (55-59)]]</f>
        <v>2921.7123025535316</v>
      </c>
      <c r="EM164" s="1">
        <f>$CT164*Table1[[#This Row],[Female% (55-59)]]</f>
        <v>1919.379872921287</v>
      </c>
      <c r="EN164" s="1">
        <f>$CU164*Table1[[#This Row],[Male% (55-59)]]</f>
        <v>1002.332429632241</v>
      </c>
      <c r="EO164" s="1">
        <f>$AF164*Table1[[#This Row],[Total% (60-64)]]</f>
        <v>1793.9777535179078</v>
      </c>
      <c r="EP164" s="1">
        <f>$CT164*Table1[[#This Row],[Female%(60-64)]]</f>
        <v>244.39340515335851</v>
      </c>
      <c r="EQ164" s="1">
        <f>$CU164*Table1[[#This Row],[Male%(60-64)]]</f>
        <v>1549.5843483645469</v>
      </c>
      <c r="ER164" s="1">
        <f>$AF164*Table1[[#This Row],[Total% (&gt;=65)]]</f>
        <v>1536.5039883869681</v>
      </c>
      <c r="ES164" s="1">
        <f>$CT164*Table1[[#This Row],[Female%(&gt;=65)]]</f>
        <v>729.58619479605761</v>
      </c>
      <c r="ET164" s="1">
        <f>$CU164*Table1[[#This Row],[Male% (&gt;=65)]]</f>
        <v>806.91779359090685</v>
      </c>
    </row>
    <row r="165" spans="1:150" x14ac:dyDescent="0.35">
      <c r="A165" t="s">
        <v>192</v>
      </c>
      <c r="B165" t="s">
        <v>193</v>
      </c>
      <c r="C165" t="s">
        <v>211</v>
      </c>
      <c r="D165" t="s">
        <v>212</v>
      </c>
      <c r="E165" t="s">
        <v>434</v>
      </c>
      <c r="F165" t="s">
        <v>435</v>
      </c>
      <c r="G165" t="s">
        <v>1143</v>
      </c>
      <c r="H165">
        <v>3</v>
      </c>
      <c r="I165" s="1">
        <v>0</v>
      </c>
      <c r="J165" s="1">
        <v>5971</v>
      </c>
      <c r="K165" s="1">
        <v>67612</v>
      </c>
      <c r="L165" s="1">
        <v>6714</v>
      </c>
      <c r="M165" s="1">
        <v>0</v>
      </c>
      <c r="N165" s="1">
        <v>74326</v>
      </c>
      <c r="O165" s="3">
        <v>0</v>
      </c>
      <c r="P165" s="3">
        <v>0</v>
      </c>
      <c r="Q165" s="3">
        <v>1</v>
      </c>
      <c r="R165" s="3">
        <v>0</v>
      </c>
      <c r="S165" s="3">
        <v>0</v>
      </c>
      <c r="T165" s="1">
        <v>80297</v>
      </c>
      <c r="U165" s="1">
        <v>80295</v>
      </c>
      <c r="V165" s="10">
        <f>Table1[[#This Row],[Pop NW+RATAA]]*Table1[[#This Row],[Perc_pop_Northern_Aleppo]]</f>
        <v>0</v>
      </c>
      <c r="W165" s="10">
        <f>Table1[[#This Row],[Pop NW+RATAA]]*Table1[[#This Row],[Perc_pop_Afrin District]]</f>
        <v>0</v>
      </c>
      <c r="X165" s="10">
        <f>Table1[[#This Row],[Pop NW+RATAA]]*Table1[[#This Row],[Perc_pop_Euphrates Shiled]]</f>
        <v>0</v>
      </c>
      <c r="Y165" s="10">
        <f>Table1[[#This Row],[Pop NW+RATAA]]*Table1[[#This Row],[Perc_Pop_Idleb_NSAG]]</f>
        <v>80295</v>
      </c>
      <c r="Z165" s="3">
        <v>0</v>
      </c>
      <c r="AA165" s="3">
        <v>0</v>
      </c>
      <c r="AB165" s="3">
        <v>0</v>
      </c>
      <c r="AC165" s="3">
        <v>1</v>
      </c>
      <c r="AD165" s="1">
        <v>0</v>
      </c>
      <c r="AE165" s="1">
        <v>0</v>
      </c>
      <c r="AF165" s="1">
        <v>74326</v>
      </c>
      <c r="AG165" s="1">
        <v>0</v>
      </c>
      <c r="AH165" s="1">
        <v>0</v>
      </c>
      <c r="AI165" s="1">
        <f>Table1[[#This Row],[NWS_pin]]*Table1[[#This Row],[Perc_pop_Northern_Aleppo]]</f>
        <v>0</v>
      </c>
      <c r="AJ165" s="1">
        <f>Table1[[#This Row],[NWS_pin]]*Table1[[#This Row],[Perc_pop_Afrin District]]</f>
        <v>0</v>
      </c>
      <c r="AK165" s="1">
        <f>Table1[[#This Row],[NWS_pin]]*Table1[[#This Row],[Perc_pop_Euphrates Shiled]]</f>
        <v>0</v>
      </c>
      <c r="AL165" s="1">
        <f>Table1[[#This Row],[NWS_pin]]*Table1[[#This Row],[Perc_Pop_Idleb_NSAG]]</f>
        <v>74326</v>
      </c>
      <c r="AM165" s="4">
        <v>0.45829209340761801</v>
      </c>
      <c r="AN165" s="4">
        <v>0.54170790659238199</v>
      </c>
      <c r="AO165" s="4">
        <v>0.137650838354929</v>
      </c>
      <c r="AP165" s="4">
        <v>0.48251362526281899</v>
      </c>
      <c r="AQ165" s="4">
        <v>0.51044452475435398</v>
      </c>
      <c r="AR165" s="4">
        <v>9.1721530939124505E-5</v>
      </c>
      <c r="AS165" s="4">
        <v>0</v>
      </c>
      <c r="AT165" s="4">
        <v>6.9501284518883703E-3</v>
      </c>
      <c r="AU165" s="4">
        <v>4.38687652679772E-2</v>
      </c>
      <c r="AV165" s="4">
        <v>5.4275900658979102E-2</v>
      </c>
      <c r="AW165" s="4">
        <v>3.5064190317758398E-2</v>
      </c>
      <c r="AX165" s="4">
        <v>0.100948067353246</v>
      </c>
      <c r="AY165" s="4">
        <v>0.122087048172771</v>
      </c>
      <c r="AZ165" s="4">
        <v>8.3064208442592199E-2</v>
      </c>
      <c r="BA165" s="4">
        <v>0.112106742372218</v>
      </c>
      <c r="BB165" s="4">
        <v>9.9650022883517098E-2</v>
      </c>
      <c r="BC165" s="4">
        <v>0.122645292727481</v>
      </c>
      <c r="BD165" s="4">
        <v>0.102638276713161</v>
      </c>
      <c r="BE165" s="4">
        <v>8.9414814735617604E-2</v>
      </c>
      <c r="BF165" s="4">
        <v>0.113825501411257</v>
      </c>
      <c r="BG165" s="4">
        <v>0.118598736963934</v>
      </c>
      <c r="BH165" s="4">
        <v>7.5469533070552097E-2</v>
      </c>
      <c r="BI165" s="4">
        <v>0.15508661705348101</v>
      </c>
      <c r="BJ165" s="4">
        <v>8.1448950913191695E-2</v>
      </c>
      <c r="BK165" s="4">
        <v>7.7409605745575497E-2</v>
      </c>
      <c r="BL165" s="4">
        <v>8.4866290646162898E-2</v>
      </c>
      <c r="BM165" s="4">
        <v>1.46259435068339E-2</v>
      </c>
      <c r="BN165" s="4">
        <v>8.8136689306596103E-3</v>
      </c>
      <c r="BO165" s="4">
        <v>1.9543205098474601E-2</v>
      </c>
      <c r="BP165" s="4">
        <v>3.39303476203573E-2</v>
      </c>
      <c r="BQ165" s="4">
        <v>5.9578275008243399E-2</v>
      </c>
      <c r="BR165" s="4">
        <v>1.22318599462506E-2</v>
      </c>
      <c r="BS165" s="4">
        <v>6.8943030605966099E-2</v>
      </c>
      <c r="BT165" s="4">
        <v>9.85439169070777E-2</v>
      </c>
      <c r="BU165" s="4">
        <v>4.3900287118994699E-2</v>
      </c>
      <c r="BV165" s="4">
        <v>5.8087981111546901E-2</v>
      </c>
      <c r="BW165" s="4">
        <v>5.2888627375860198E-2</v>
      </c>
      <c r="BX165" s="4">
        <v>6.24867035206099E-2</v>
      </c>
      <c r="BY165" s="4">
        <v>6.91308998290526E-2</v>
      </c>
      <c r="BZ165" s="4">
        <v>0.11524246333560299</v>
      </c>
      <c r="CA165" s="4">
        <v>3.0119903842950501E-2</v>
      </c>
      <c r="CB165" s="4">
        <v>8.0154377066528906E-2</v>
      </c>
      <c r="CC165" s="4">
        <v>8.0257877832592306E-2</v>
      </c>
      <c r="CD165" s="4">
        <v>8.0066814041933596E-2</v>
      </c>
      <c r="CE165" s="4">
        <v>5.2138990497197897E-2</v>
      </c>
      <c r="CF165" s="4">
        <v>2.3746637236780499E-2</v>
      </c>
      <c r="CG165" s="4">
        <v>7.61592989588879E-2</v>
      </c>
      <c r="CH165" s="4">
        <v>1.8864855587273101E-2</v>
      </c>
      <c r="CI165" s="4">
        <v>2.6933145945267798E-3</v>
      </c>
      <c r="CJ165" s="4">
        <v>3.25461943401327E-2</v>
      </c>
      <c r="CK165" s="4">
        <v>1.8453850984356299E-2</v>
      </c>
      <c r="CL165" s="4">
        <v>1.28218702760712E-2</v>
      </c>
      <c r="CM165" s="4">
        <v>2.3218581565948901E-2</v>
      </c>
      <c r="CN165" s="4">
        <v>1.7368419486704E-2</v>
      </c>
      <c r="CO165" s="4">
        <v>2.6505095652776901E-2</v>
      </c>
      <c r="CP165" s="4">
        <v>9.6386699372151292E-3</v>
      </c>
      <c r="CQ165" s="4">
        <v>8.6917641204557299E-3</v>
      </c>
      <c r="CR165" s="4">
        <v>6.0132758279681203E-4</v>
      </c>
      <c r="CS165" s="4">
        <v>1.5536381029869199E-2</v>
      </c>
      <c r="CT165" s="1">
        <f>Table1[[#This Row],[Female %]]*Table1[[#This Row],[NWS_pin]]</f>
        <v>34063.018134614613</v>
      </c>
      <c r="CU165" s="1">
        <f>Table1[[#This Row],[Male %]]*Table1[[#This Row],[NWS_pin]]</f>
        <v>40262.981865385387</v>
      </c>
      <c r="CV165" s="1">
        <f>Table1[[#This Row],[Female% (0-2)22]]+Table1[[#This Row],[Male%(0-2)3]]</f>
        <v>3260.5898473076745</v>
      </c>
      <c r="CW165" s="1">
        <f>$CT165*Table1[[#This Row],[Female% (0-2)]]</f>
        <v>1848.8009884193464</v>
      </c>
      <c r="CX165" s="1">
        <f>$CU165*Table1[[#This Row],[Male%(0-2)]]</f>
        <v>1411.7888588883281</v>
      </c>
      <c r="CY165" s="1">
        <f>Table1[[#This Row],[Female%  (3-5)5]]+Table1[[#This Row],[Male% (3-5)6]]</f>
        <v>12418.65466067606</v>
      </c>
      <c r="CZ165" s="1">
        <f>$AF165*Table1[[#This Row],[Female%  (3-5)]]</f>
        <v>9074.2419424893778</v>
      </c>
      <c r="DA165" s="1">
        <f>$CU165*Table1[[#This Row],[Male% (3-5)]]</f>
        <v>3344.4127181866816</v>
      </c>
      <c r="DB165" s="1">
        <f>Table1[[#This Row],[Female% (6-8)8]]+Table1[[#This Row],[Male%(6-8)9]]</f>
        <v>8332.4457335574534</v>
      </c>
      <c r="DC165" s="1">
        <f>$CT165*Table1[[#This Row],[Female% (6-8)]]</f>
        <v>3394.3805365960038</v>
      </c>
      <c r="DD165" s="1">
        <f>$CU165*Table1[[#This Row],[Male%(6-8)]]</f>
        <v>4938.0651969614501</v>
      </c>
      <c r="DE165" s="1">
        <f>Table1[[#This Row],[Female% (9 - 11)11]]+Table1[[#This Row],[Male% (9 - 11)12]]</f>
        <v>7628.6925549823873</v>
      </c>
      <c r="DF165" s="1">
        <f>$CT165*Table1[[#This Row],[Female% (9 - 11)]]</f>
        <v>3045.7384558425483</v>
      </c>
      <c r="DG165" s="1">
        <f>$CU165*Table1[[#This Row],[Male% (9 - 11)]]</f>
        <v>4582.9540991398389</v>
      </c>
      <c r="DH165" s="1">
        <f>Table1[[#This Row],[Female% (12-14)14]]+Table1[[#This Row],[Male%(12-14)15]]</f>
        <v>8814.9697235813874</v>
      </c>
      <c r="DI165" s="1">
        <f>$CT165*Table1[[#This Row],[Female% (12-14)]]</f>
        <v>2570.7200735931133</v>
      </c>
      <c r="DJ165" s="1">
        <f>$CU165*Table1[[#This Row],[Male%(12-14)]]</f>
        <v>6244.2496499882736</v>
      </c>
      <c r="DK165" s="1">
        <f>Table1[[#This Row],[Female% (15-17)17]]+Table1[[#This Row],[Male%(15-17)18]]</f>
        <v>6053.7747255738886</v>
      </c>
      <c r="DL165" s="1">
        <f>$CT165*Table1[[#This Row],[Female% (15-17)]]</f>
        <v>2636.8048043049057</v>
      </c>
      <c r="DM165" s="1">
        <f>$CU165*Table1[[#This Row],[Male%(15-17)]]</f>
        <v>3416.9699212689825</v>
      </c>
      <c r="DN165" s="1">
        <f>$AF165*Table1[[#This Row],[Total% (18-19)]]</f>
        <v>1087.0878770889365</v>
      </c>
      <c r="DO165" s="1">
        <f>$CT165*Table1[[#This Row],[Female% (18-19)]]</f>
        <v>300.22016461754771</v>
      </c>
      <c r="DP165" s="1">
        <f>$CU165*Table1[[#This Row],[Male%(18-19)]]</f>
        <v>786.86771247139006</v>
      </c>
      <c r="DQ165" s="1">
        <f>$AF165*Table1[[#This Row],[Total% (20-24)]]</f>
        <v>2521.9070172306765</v>
      </c>
      <c r="DR165" s="1">
        <f>$CT165*Table1[[#This Row],[Female% (20-24)]]</f>
        <v>2029.4158620348514</v>
      </c>
      <c r="DS165" s="1">
        <f>$CU165*Table1[[#This Row],[Male% (20-24)]]</f>
        <v>492.49115519582176</v>
      </c>
      <c r="DT165" s="1">
        <f>$AF165*Table1[[#This Row],[Total% (25-29)]]</f>
        <v>5124.259692819036</v>
      </c>
      <c r="DU165" s="1">
        <f>$CT165*Table1[[#This Row],[Female% (25-29)]]</f>
        <v>3356.7032286617432</v>
      </c>
      <c r="DV165" s="1">
        <f>$CU165*Table1[[#This Row],[Male% (25-29)]]</f>
        <v>1767.5564641572953</v>
      </c>
      <c r="DW165" s="1">
        <f>$AF165*Table1[[#This Row],[Total%   (30-34)]]</f>
        <v>4317.4472840968347</v>
      </c>
      <c r="DX165" s="1">
        <f>$CT165*Table1[[#This Row],[Female%   (30-34)]]</f>
        <v>1801.5462734188009</v>
      </c>
      <c r="DY165" s="1">
        <f>$CU165*Table1[[#This Row],[Male%  (30-34)]]</f>
        <v>2515.9010106780297</v>
      </c>
      <c r="DZ165" s="1">
        <f>$AF165*Table1[[#This Row],[Total% (35-39)]]</f>
        <v>5138.2232606941634</v>
      </c>
      <c r="EA165" s="1">
        <f>$CT165*Table1[[#This Row],[Female% (35-39)]]</f>
        <v>3925.5061184783044</v>
      </c>
      <c r="EB165" s="1">
        <f>$CU165*Table1[[#This Row],[Male% (35-39)]]</f>
        <v>1212.7171422158676</v>
      </c>
      <c r="EC165" s="1">
        <f>$AF165*Table1[[#This Row],[Total% (40-44)]]</f>
        <v>5957.5542298468272</v>
      </c>
      <c r="ED165" s="1">
        <f>$CT165*Table1[[#This Row],[Female% (40-44)]]</f>
        <v>2733.8255480572757</v>
      </c>
      <c r="EE165" s="1">
        <f>$CU165*Table1[[#This Row],[Male%(55-59)]]</f>
        <v>3223.7286817895565</v>
      </c>
      <c r="EF165" s="1">
        <f>$AF165*Table1[[#This Row],[Total% (45-49)]]</f>
        <v>3875.2826076947308</v>
      </c>
      <c r="EG165" s="1">
        <f>$CT165*Table1[[#This Row],[Female% (45-49)]]</f>
        <v>808.88213483256879</v>
      </c>
      <c r="EH165" s="1">
        <f>$CU165*Table1[[#This Row],[Male% (45-49)]]</f>
        <v>3066.4004728621676</v>
      </c>
      <c r="EI165" s="1">
        <f>$AF165*Table1[[#This Row],[Total% (50-54)]]</f>
        <v>1402.1492563796605</v>
      </c>
      <c r="EJ165" s="1">
        <f>$CT165*Table1[[#This Row],[Female%(50-54)]]</f>
        <v>91.742423875587903</v>
      </c>
      <c r="EK165" s="1">
        <f>$CU165*Table1[[#This Row],[Male% (50-54)]]</f>
        <v>1310.4068325040714</v>
      </c>
      <c r="EL165" s="1">
        <f>$AF165*Table1[[#This Row],[Total% (55-59)]]</f>
        <v>1371.6009282632663</v>
      </c>
      <c r="EM165" s="1">
        <f>$CT165*Table1[[#This Row],[Female% (55-59)]]</f>
        <v>436.75159973348934</v>
      </c>
      <c r="EN165" s="1">
        <f>$CU165*Table1[[#This Row],[Male% (55-59)]]</f>
        <v>934.84932852977204</v>
      </c>
      <c r="EO165" s="1">
        <f>$AF165*Table1[[#This Row],[Total% (60-64)]]</f>
        <v>1290.9251467687616</v>
      </c>
      <c r="EP165" s="1">
        <f>$CT165*Table1[[#This Row],[Female%(60-64)]]</f>
        <v>902.84355388023448</v>
      </c>
      <c r="EQ165" s="1">
        <f>$CU165*Table1[[#This Row],[Male%(60-64)]]</f>
        <v>388.08159288852806</v>
      </c>
      <c r="ER165" s="1">
        <f>$AF165*Table1[[#This Row],[Total% (&gt;=65)]]</f>
        <v>646.02406001699262</v>
      </c>
      <c r="ES165" s="1">
        <f>$CT165*Table1[[#This Row],[Female%(&gt;=65)]]</f>
        <v>20.48303235765178</v>
      </c>
      <c r="ET165" s="1">
        <f>$CU165*Table1[[#This Row],[Male% (&gt;=65)]]</f>
        <v>625.54102765934113</v>
      </c>
    </row>
    <row r="166" spans="1:150" x14ac:dyDescent="0.35">
      <c r="A166" t="s">
        <v>192</v>
      </c>
      <c r="B166" t="s">
        <v>193</v>
      </c>
      <c r="C166" t="s">
        <v>341</v>
      </c>
      <c r="D166" t="s">
        <v>342</v>
      </c>
      <c r="E166" t="s">
        <v>341</v>
      </c>
      <c r="F166" t="s">
        <v>362</v>
      </c>
      <c r="G166" t="s">
        <v>1143</v>
      </c>
      <c r="H166">
        <v>4</v>
      </c>
      <c r="I166" s="1">
        <v>0</v>
      </c>
      <c r="J166" s="1">
        <v>18480</v>
      </c>
      <c r="K166" s="1">
        <v>68143</v>
      </c>
      <c r="L166" s="1">
        <v>28874</v>
      </c>
      <c r="M166" s="1">
        <v>0</v>
      </c>
      <c r="N166" s="1">
        <v>97017</v>
      </c>
      <c r="O166" s="3">
        <v>0</v>
      </c>
      <c r="P166" s="3">
        <v>0</v>
      </c>
      <c r="Q166" s="3">
        <v>1</v>
      </c>
      <c r="R166" s="3">
        <v>0</v>
      </c>
      <c r="S166" s="3">
        <v>0</v>
      </c>
      <c r="T166" s="1">
        <v>115497</v>
      </c>
      <c r="U166" s="1">
        <v>115480</v>
      </c>
      <c r="V166" s="10">
        <f>Table1[[#This Row],[Pop NW+RATAA]]*Table1[[#This Row],[Perc_pop_Northern_Aleppo]]</f>
        <v>0</v>
      </c>
      <c r="W166" s="10">
        <f>Table1[[#This Row],[Pop NW+RATAA]]*Table1[[#This Row],[Perc_pop_Afrin District]]</f>
        <v>0</v>
      </c>
      <c r="X166" s="10">
        <f>Table1[[#This Row],[Pop NW+RATAA]]*Table1[[#This Row],[Perc_pop_Euphrates Shiled]]</f>
        <v>0</v>
      </c>
      <c r="Y166" s="10">
        <f>Table1[[#This Row],[Pop NW+RATAA]]*Table1[[#This Row],[Perc_Pop_Idleb_NSAG]]</f>
        <v>115480</v>
      </c>
      <c r="Z166" s="3">
        <v>0</v>
      </c>
      <c r="AA166" s="3">
        <v>0</v>
      </c>
      <c r="AB166" s="3">
        <v>0</v>
      </c>
      <c r="AC166" s="3">
        <v>1</v>
      </c>
      <c r="AD166" s="1">
        <v>0</v>
      </c>
      <c r="AE166" s="1">
        <v>0</v>
      </c>
      <c r="AF166" s="1">
        <v>97017</v>
      </c>
      <c r="AG166" s="1">
        <v>0</v>
      </c>
      <c r="AH166" s="1">
        <v>0</v>
      </c>
      <c r="AI166" s="1">
        <f>Table1[[#This Row],[NWS_pin]]*Table1[[#This Row],[Perc_pop_Northern_Aleppo]]</f>
        <v>0</v>
      </c>
      <c r="AJ166" s="1">
        <f>Table1[[#This Row],[NWS_pin]]*Table1[[#This Row],[Perc_pop_Afrin District]]</f>
        <v>0</v>
      </c>
      <c r="AK166" s="1">
        <f>Table1[[#This Row],[NWS_pin]]*Table1[[#This Row],[Perc_pop_Euphrates Shiled]]</f>
        <v>0</v>
      </c>
      <c r="AL166" s="1">
        <f>Table1[[#This Row],[NWS_pin]]*Table1[[#This Row],[Perc_Pop_Idleb_NSAG]]</f>
        <v>97017</v>
      </c>
      <c r="AM166" s="4">
        <v>0.50281875789019304</v>
      </c>
      <c r="AN166" s="4">
        <v>0.49718124210980702</v>
      </c>
      <c r="AO166" s="4">
        <v>0.178364819807278</v>
      </c>
      <c r="AP166" s="4">
        <v>0.403185668458171</v>
      </c>
      <c r="AQ166" s="4">
        <v>0.54549406042568505</v>
      </c>
      <c r="AR166" s="4">
        <v>9.4396083208204903E-3</v>
      </c>
      <c r="AS166" s="4">
        <v>0</v>
      </c>
      <c r="AT166" s="4">
        <v>4.1880662795324299E-2</v>
      </c>
      <c r="AU166" s="4">
        <v>9.6077312208684304E-2</v>
      </c>
      <c r="AV166" s="4">
        <v>8.7584864730860607E-2</v>
      </c>
      <c r="AW166" s="4">
        <v>0.10466605516714</v>
      </c>
      <c r="AX166" s="4">
        <v>0.128231750665497</v>
      </c>
      <c r="AY166" s="4">
        <v>0.12804935944316301</v>
      </c>
      <c r="AZ166" s="4">
        <v>0.12841621001371201</v>
      </c>
      <c r="BA166" s="4">
        <v>0.12518885247709099</v>
      </c>
      <c r="BB166" s="4">
        <v>0.10468609227147101</v>
      </c>
      <c r="BC166" s="4">
        <v>0.14592409256009001</v>
      </c>
      <c r="BD166" s="4">
        <v>9.3784994527094503E-2</v>
      </c>
      <c r="BE166" s="4">
        <v>9.4576644584966202E-2</v>
      </c>
      <c r="BF166" s="4">
        <v>9.2984367984762506E-2</v>
      </c>
      <c r="BG166" s="4">
        <v>6.4630126716888697E-2</v>
      </c>
      <c r="BH166" s="4">
        <v>6.3832159776300898E-2</v>
      </c>
      <c r="BI166" s="4">
        <v>6.5437141768786303E-2</v>
      </c>
      <c r="BJ166" s="4">
        <v>3.3596246866112199E-2</v>
      </c>
      <c r="BK166" s="4">
        <v>2.8177539525508E-2</v>
      </c>
      <c r="BL166" s="4">
        <v>3.90763966859465E-2</v>
      </c>
      <c r="BM166" s="4">
        <v>2.6780790263685302E-2</v>
      </c>
      <c r="BN166" s="4">
        <v>3.7038246470887999E-2</v>
      </c>
      <c r="BO166" s="4">
        <v>1.64070252211184E-2</v>
      </c>
      <c r="BP166" s="4">
        <v>4.4788303664161699E-2</v>
      </c>
      <c r="BQ166" s="4">
        <v>4.2965568571096603E-2</v>
      </c>
      <c r="BR166" s="4">
        <v>4.6631706668604403E-2</v>
      </c>
      <c r="BS166" s="4">
        <v>7.1630695752587598E-2</v>
      </c>
      <c r="BT166" s="4">
        <v>8.7811038266953301E-2</v>
      </c>
      <c r="BU166" s="4">
        <v>5.5266885060963798E-2</v>
      </c>
      <c r="BV166" s="4">
        <v>8.2630148216397997E-2</v>
      </c>
      <c r="BW166" s="4">
        <v>8.8111808902316596E-2</v>
      </c>
      <c r="BX166" s="4">
        <v>7.7086331226093402E-2</v>
      </c>
      <c r="BY166" s="4">
        <v>5.8534091746277502E-2</v>
      </c>
      <c r="BZ166" s="4">
        <v>4.8446277305064699E-2</v>
      </c>
      <c r="CA166" s="4">
        <v>6.8736291462487095E-2</v>
      </c>
      <c r="CB166" s="4">
        <v>3.1050581648322001E-2</v>
      </c>
      <c r="CC166" s="4">
        <v>2.9095683545561E-2</v>
      </c>
      <c r="CD166" s="4">
        <v>3.3027646252893401E-2</v>
      </c>
      <c r="CE166" s="4">
        <v>4.8558703239121197E-2</v>
      </c>
      <c r="CF166" s="4">
        <v>5.7079963804029903E-2</v>
      </c>
      <c r="CG166" s="4">
        <v>3.9940820483279502E-2</v>
      </c>
      <c r="CH166" s="4">
        <v>3.0324908140094701E-2</v>
      </c>
      <c r="CI166" s="4">
        <v>2.9944511442596401E-2</v>
      </c>
      <c r="CJ166" s="4">
        <v>3.0709618138665899E-2</v>
      </c>
      <c r="CK166" s="4">
        <v>1.7429101105685799E-2</v>
      </c>
      <c r="CL166" s="4">
        <v>1.3773916772666E-2</v>
      </c>
      <c r="CM166" s="4">
        <v>2.1125731409736601E-2</v>
      </c>
      <c r="CN166" s="4">
        <v>2.12813152994203E-2</v>
      </c>
      <c r="CO166" s="4">
        <v>1.9470651035821199E-2</v>
      </c>
      <c r="CP166" s="4">
        <v>2.3112510603803701E-2</v>
      </c>
      <c r="CQ166" s="4">
        <v>2.5482077462877801E-2</v>
      </c>
      <c r="CR166" s="4">
        <v>3.9355673550736402E-2</v>
      </c>
      <c r="CS166" s="4">
        <v>1.14511692919162E-2</v>
      </c>
      <c r="CT166" s="1">
        <f>Table1[[#This Row],[Female %]]*Table1[[#This Row],[NWS_pin]]</f>
        <v>48781.967434232858</v>
      </c>
      <c r="CU166" s="1">
        <f>Table1[[#This Row],[Male %]]*Table1[[#This Row],[NWS_pin]]</f>
        <v>48235.032565767149</v>
      </c>
      <c r="CV166" s="1">
        <f>Table1[[#This Row],[Female% (0-2)22]]+Table1[[#This Row],[Male%(0-2)3]]</f>
        <v>9321.1325985499097</v>
      </c>
      <c r="CW166" s="1">
        <f>$CT166*Table1[[#This Row],[Female% (0-2)]]</f>
        <v>4272.5620190325317</v>
      </c>
      <c r="CX166" s="1">
        <f>$CU166*Table1[[#This Row],[Male%(0-2)]]</f>
        <v>5048.570579517379</v>
      </c>
      <c r="CY166" s="1">
        <f>Table1[[#This Row],[Female%  (3-5)5]]+Table1[[#This Row],[Male% (3-5)6]]</f>
        <v>18617.124777081139</v>
      </c>
      <c r="CZ166" s="1">
        <f>$AF166*Table1[[#This Row],[Female%  (3-5)]]</f>
        <v>12422.964705097345</v>
      </c>
      <c r="DA166" s="1">
        <f>$CU166*Table1[[#This Row],[Male% (3-5)]]</f>
        <v>6194.1600719837925</v>
      </c>
      <c r="DB166" s="1">
        <f>Table1[[#This Row],[Female% (6-8)8]]+Table1[[#This Row],[Male%(6-8)9]]</f>
        <v>12145.446900769955</v>
      </c>
      <c r="DC166" s="1">
        <f>$CT166*Table1[[#This Row],[Female% (6-8)]]</f>
        <v>5106.7935440039946</v>
      </c>
      <c r="DD166" s="1">
        <f>$CU166*Table1[[#This Row],[Male%(6-8)]]</f>
        <v>7038.6533567659617</v>
      </c>
      <c r="DE166" s="1">
        <f>Table1[[#This Row],[Female% (9 - 11)11]]+Table1[[#This Row],[Male% (9 - 11)12]]</f>
        <v>9098.7388140351322</v>
      </c>
      <c r="DF166" s="1">
        <f>$CT166*Table1[[#This Row],[Female% (9 - 11)]]</f>
        <v>4613.6347961828369</v>
      </c>
      <c r="DG166" s="1">
        <f>$CU166*Table1[[#This Row],[Male% (9 - 11)]]</f>
        <v>4485.1040178522962</v>
      </c>
      <c r="DH166" s="1">
        <f>Table1[[#This Row],[Female% (12-14)14]]+Table1[[#This Row],[Male%(12-14)15]]</f>
        <v>6270.221003692388</v>
      </c>
      <c r="DI166" s="1">
        <f>$CT166*Table1[[#This Row],[Female% (12-14)]]</f>
        <v>3113.8583394642592</v>
      </c>
      <c r="DJ166" s="1">
        <f>$CU166*Table1[[#This Row],[Male%(12-14)]]</f>
        <v>3156.3626642281292</v>
      </c>
      <c r="DK166" s="1">
        <f>Table1[[#This Row],[Female% (15-17)17]]+Table1[[#This Row],[Male%(15-17)18]]</f>
        <v>3259.4070822096055</v>
      </c>
      <c r="DL166" s="1">
        <f>$CT166*Table1[[#This Row],[Female% (15-17)]]</f>
        <v>1374.5558155101405</v>
      </c>
      <c r="DM166" s="1">
        <f>$CU166*Table1[[#This Row],[Male%(15-17)]]</f>
        <v>1884.851266699465</v>
      </c>
      <c r="DN166" s="1">
        <f>$AF166*Table1[[#This Row],[Total% (18-19)]]</f>
        <v>2598.1919290119567</v>
      </c>
      <c r="DO166" s="1">
        <f>$CT166*Table1[[#This Row],[Female% (18-19)]]</f>
        <v>1806.7985331639484</v>
      </c>
      <c r="DP166" s="1">
        <f>$CU166*Table1[[#This Row],[Male%(18-19)]]</f>
        <v>791.39339584800894</v>
      </c>
      <c r="DQ166" s="1">
        <f>$AF166*Table1[[#This Row],[Total% (20-24)]]</f>
        <v>4345.2268565859758</v>
      </c>
      <c r="DR166" s="1">
        <f>$CT166*Table1[[#This Row],[Female% (20-24)]]</f>
        <v>2095.9449668285333</v>
      </c>
      <c r="DS166" s="1">
        <f>$CU166*Table1[[#This Row],[Male% (20-24)]]</f>
        <v>2249.2818897574343</v>
      </c>
      <c r="DT166" s="1">
        <f>$AF166*Table1[[#This Row],[Total% (25-29)]]</f>
        <v>6949.3952098287909</v>
      </c>
      <c r="DU166" s="1">
        <f>$CT166*Table1[[#This Row],[Female% (25-29)]]</f>
        <v>4283.5952091046911</v>
      </c>
      <c r="DV166" s="1">
        <f>$CU166*Table1[[#This Row],[Male% (25-29)]]</f>
        <v>2665.8000007240989</v>
      </c>
      <c r="DW166" s="1">
        <f>$AF166*Table1[[#This Row],[Total%   (30-34)]]</f>
        <v>8016.5290895102844</v>
      </c>
      <c r="DX166" s="1">
        <f>$CT166*Table1[[#This Row],[Female%   (30-34)]]</f>
        <v>4298.2673924441569</v>
      </c>
      <c r="DY166" s="1">
        <f>$CU166*Table1[[#This Row],[Male%  (30-34)]]</f>
        <v>3718.2616970661284</v>
      </c>
      <c r="DZ166" s="1">
        <f>$AF166*Table1[[#This Row],[Total% (35-39)]]</f>
        <v>5678.8019789486043</v>
      </c>
      <c r="EA166" s="1">
        <f>$CT166*Table1[[#This Row],[Female% (35-39)]]</f>
        <v>2363.3047218054803</v>
      </c>
      <c r="EB166" s="1">
        <f>$CU166*Table1[[#This Row],[Male% (35-39)]]</f>
        <v>3315.4972571431276</v>
      </c>
      <c r="EC166" s="1">
        <f>$AF166*Table1[[#This Row],[Total% (40-44)]]</f>
        <v>3012.4342797752556</v>
      </c>
      <c r="ED166" s="1">
        <f>$CT166*Table1[[#This Row],[Female% (40-44)]]</f>
        <v>1419.3446871963015</v>
      </c>
      <c r="EE166" s="1">
        <f>$CU166*Table1[[#This Row],[Male%(55-59)]]</f>
        <v>1593.0895925789505</v>
      </c>
      <c r="EF166" s="1">
        <f>$AF166*Table1[[#This Row],[Total% (45-49)]]</f>
        <v>4711.0197121498213</v>
      </c>
      <c r="EG166" s="1">
        <f>$CT166*Table1[[#This Row],[Female% (45-49)]]</f>
        <v>2784.4729354353772</v>
      </c>
      <c r="EH166" s="1">
        <f>$CU166*Table1[[#This Row],[Male% (45-49)]]</f>
        <v>1926.5467767144464</v>
      </c>
      <c r="EI166" s="1">
        <f>$AF166*Table1[[#This Row],[Total% (50-54)]]</f>
        <v>2942.0316130275678</v>
      </c>
      <c r="EJ166" s="1">
        <f>$CT166*Table1[[#This Row],[Female%(50-54)]]</f>
        <v>1460.7521820267507</v>
      </c>
      <c r="EK166" s="1">
        <f>$CU166*Table1[[#This Row],[Male% (50-54)]]</f>
        <v>1481.2794310008233</v>
      </c>
      <c r="EL166" s="1">
        <f>$AF166*Table1[[#This Row],[Total% (55-59)]]</f>
        <v>1690.9191019703192</v>
      </c>
      <c r="EM166" s="1">
        <f>$CT166*Table1[[#This Row],[Female% (55-59)]]</f>
        <v>671.91875944602657</v>
      </c>
      <c r="EN166" s="1">
        <f>$CU166*Table1[[#This Row],[Male% (55-59)]]</f>
        <v>1019.0003425242949</v>
      </c>
      <c r="EO166" s="1">
        <f>$AF166*Table1[[#This Row],[Total% (60-64)]]</f>
        <v>2064.6493664038594</v>
      </c>
      <c r="EP166" s="1">
        <f>$CT166*Table1[[#This Row],[Female%(60-64)]]</f>
        <v>949.81666475274199</v>
      </c>
      <c r="EQ166" s="1">
        <f>$CU166*Table1[[#This Row],[Male%(60-64)]]</f>
        <v>1114.83270165111</v>
      </c>
      <c r="ER166" s="1">
        <f>$AF166*Table1[[#This Row],[Total% (&gt;=65)]]</f>
        <v>2472.1947092160158</v>
      </c>
      <c r="ES166" s="1">
        <f>$CT166*Table1[[#This Row],[Female%(&gt;=65)]]</f>
        <v>1919.8471855043226</v>
      </c>
      <c r="ET166" s="1">
        <f>$CU166*Table1[[#This Row],[Male% (&gt;=65)]]</f>
        <v>552.34752371169066</v>
      </c>
    </row>
    <row r="167" spans="1:150" x14ac:dyDescent="0.35">
      <c r="A167" t="s">
        <v>192</v>
      </c>
      <c r="B167" t="s">
        <v>193</v>
      </c>
      <c r="C167" t="s">
        <v>341</v>
      </c>
      <c r="D167" t="s">
        <v>342</v>
      </c>
      <c r="E167" t="s">
        <v>343</v>
      </c>
      <c r="F167" t="s">
        <v>344</v>
      </c>
      <c r="G167" t="s">
        <v>1143</v>
      </c>
      <c r="H167">
        <v>4</v>
      </c>
      <c r="I167" s="1">
        <v>0</v>
      </c>
      <c r="J167" s="1">
        <v>593</v>
      </c>
      <c r="K167" s="1">
        <v>43891</v>
      </c>
      <c r="L167" s="1">
        <v>14828</v>
      </c>
      <c r="M167" s="1">
        <v>0</v>
      </c>
      <c r="N167" s="1">
        <v>58719</v>
      </c>
      <c r="O167" s="3">
        <v>0</v>
      </c>
      <c r="P167" s="3">
        <v>0</v>
      </c>
      <c r="Q167" s="3">
        <v>1</v>
      </c>
      <c r="R167" s="3">
        <v>0</v>
      </c>
      <c r="S167" s="3">
        <v>0</v>
      </c>
      <c r="T167" s="1">
        <v>59312</v>
      </c>
      <c r="U167" s="1">
        <v>59307</v>
      </c>
      <c r="V167" s="10">
        <f>Table1[[#This Row],[Pop NW+RATAA]]*Table1[[#This Row],[Perc_pop_Northern_Aleppo]]</f>
        <v>0</v>
      </c>
      <c r="W167" s="10">
        <f>Table1[[#This Row],[Pop NW+RATAA]]*Table1[[#This Row],[Perc_pop_Afrin District]]</f>
        <v>0</v>
      </c>
      <c r="X167" s="10">
        <f>Table1[[#This Row],[Pop NW+RATAA]]*Table1[[#This Row],[Perc_pop_Euphrates Shiled]]</f>
        <v>0</v>
      </c>
      <c r="Y167" s="10">
        <f>Table1[[#This Row],[Pop NW+RATAA]]*Table1[[#This Row],[Perc_Pop_Idleb_NSAG]]</f>
        <v>59307</v>
      </c>
      <c r="Z167" s="3">
        <v>0</v>
      </c>
      <c r="AA167" s="3">
        <v>0</v>
      </c>
      <c r="AB167" s="3">
        <v>0</v>
      </c>
      <c r="AC167" s="3">
        <v>1</v>
      </c>
      <c r="AD167" s="1">
        <v>0</v>
      </c>
      <c r="AE167" s="1">
        <v>0</v>
      </c>
      <c r="AF167" s="1">
        <v>58719</v>
      </c>
      <c r="AG167" s="1">
        <v>0</v>
      </c>
      <c r="AH167" s="1">
        <v>0</v>
      </c>
      <c r="AI167" s="1">
        <f>Table1[[#This Row],[NWS_pin]]*Table1[[#This Row],[Perc_pop_Northern_Aleppo]]</f>
        <v>0</v>
      </c>
      <c r="AJ167" s="1">
        <f>Table1[[#This Row],[NWS_pin]]*Table1[[#This Row],[Perc_pop_Afrin District]]</f>
        <v>0</v>
      </c>
      <c r="AK167" s="1">
        <f>Table1[[#This Row],[NWS_pin]]*Table1[[#This Row],[Perc_pop_Euphrates Shiled]]</f>
        <v>0</v>
      </c>
      <c r="AL167" s="1">
        <f>Table1[[#This Row],[NWS_pin]]*Table1[[#This Row],[Perc_Pop_Idleb_NSAG]]</f>
        <v>58719</v>
      </c>
      <c r="AM167" s="4">
        <v>0.48178039554184099</v>
      </c>
      <c r="AN167" s="4">
        <v>0.51821960445815896</v>
      </c>
      <c r="AO167" s="4">
        <v>0.22009700548291899</v>
      </c>
      <c r="AP167" s="4">
        <v>0.35772635845275702</v>
      </c>
      <c r="AQ167" s="4">
        <v>0.61757393163095597</v>
      </c>
      <c r="AR167" s="4">
        <v>6.2450141470773704E-3</v>
      </c>
      <c r="AS167" s="4">
        <v>0</v>
      </c>
      <c r="AT167" s="4">
        <v>1.8454695769209901E-2</v>
      </c>
      <c r="AU167" s="4">
        <v>6.5147871312104103E-2</v>
      </c>
      <c r="AV167" s="4">
        <v>6.6563159009958905E-2</v>
      </c>
      <c r="AW167" s="4">
        <v>6.3832101200336694E-2</v>
      </c>
      <c r="AX167" s="4">
        <v>0.12926510436344099</v>
      </c>
      <c r="AY167" s="4">
        <v>0.105421917725287</v>
      </c>
      <c r="AZ167" s="4">
        <v>0.15143172984554501</v>
      </c>
      <c r="BA167" s="4">
        <v>9.6603879522695502E-2</v>
      </c>
      <c r="BB167" s="4">
        <v>9.9383116227915194E-2</v>
      </c>
      <c r="BC167" s="4">
        <v>9.4020068050443106E-2</v>
      </c>
      <c r="BD167" s="4">
        <v>9.4980932645289201E-2</v>
      </c>
      <c r="BE167" s="4">
        <v>9.0657067613791095E-2</v>
      </c>
      <c r="BF167" s="4">
        <v>9.9000760122334802E-2</v>
      </c>
      <c r="BG167" s="4">
        <v>5.87132030740498E-2</v>
      </c>
      <c r="BH167" s="4">
        <v>6.0933574318665702E-2</v>
      </c>
      <c r="BI167" s="4">
        <v>5.6648959793251401E-2</v>
      </c>
      <c r="BJ167" s="4">
        <v>1.86263513986702E-2</v>
      </c>
      <c r="BK167" s="4">
        <v>7.7715877788652604E-3</v>
      </c>
      <c r="BL167" s="4">
        <v>2.8717849800647399E-2</v>
      </c>
      <c r="BM167" s="4">
        <v>1.4348968670535299E-2</v>
      </c>
      <c r="BN167" s="4">
        <v>1.53039139515877E-2</v>
      </c>
      <c r="BO167" s="4">
        <v>1.3461171467827601E-2</v>
      </c>
      <c r="BP167" s="4">
        <v>4.6377384900490197E-2</v>
      </c>
      <c r="BQ167" s="4">
        <v>6.9803343860675798E-2</v>
      </c>
      <c r="BR167" s="4">
        <v>2.4598649251178401E-2</v>
      </c>
      <c r="BS167" s="4">
        <v>7.0984458241179105E-2</v>
      </c>
      <c r="BT167" s="4">
        <v>9.328635969205E-2</v>
      </c>
      <c r="BU167" s="4">
        <v>5.0250740701546302E-2</v>
      </c>
      <c r="BV167" s="4">
        <v>0.11611810138579599</v>
      </c>
      <c r="BW167" s="4">
        <v>0.14878080004439601</v>
      </c>
      <c r="BX167" s="4">
        <v>8.5752118038526795E-2</v>
      </c>
      <c r="BY167" s="4">
        <v>7.2297897661406402E-2</v>
      </c>
      <c r="BZ167" s="4">
        <v>6.03270329038312E-2</v>
      </c>
      <c r="CA167" s="4">
        <v>8.3427017262955705E-2</v>
      </c>
      <c r="CB167" s="4">
        <v>5.9866556620921101E-2</v>
      </c>
      <c r="CC167" s="4">
        <v>3.43724459422644E-2</v>
      </c>
      <c r="CD167" s="4">
        <v>8.3568019516353495E-2</v>
      </c>
      <c r="CE167" s="4">
        <v>3.6895190845968297E-2</v>
      </c>
      <c r="CF167" s="4">
        <v>4.0219787704198498E-2</v>
      </c>
      <c r="CG167" s="4">
        <v>3.3804366848581999E-2</v>
      </c>
      <c r="CH167" s="4">
        <v>3.2129286432942501E-2</v>
      </c>
      <c r="CI167" s="4">
        <v>2.3564178110526999E-2</v>
      </c>
      <c r="CJ167" s="4">
        <v>4.0092129289392597E-2</v>
      </c>
      <c r="CK167" s="4">
        <v>2.52684719698568E-2</v>
      </c>
      <c r="CL167" s="4">
        <v>3.3651949408215399E-2</v>
      </c>
      <c r="CM167" s="4">
        <v>1.74744884124583E-2</v>
      </c>
      <c r="CN167" s="4">
        <v>1.1965910124953001E-2</v>
      </c>
      <c r="CO167" s="4">
        <v>1.58936805674675E-2</v>
      </c>
      <c r="CP167" s="4">
        <v>8.3143253892292504E-3</v>
      </c>
      <c r="CQ167" s="4">
        <v>5.0410430829701501E-2</v>
      </c>
      <c r="CR167" s="4">
        <v>3.4066085140302897E-2</v>
      </c>
      <c r="CS167" s="4">
        <v>6.5605505009390899E-2</v>
      </c>
      <c r="CT167" s="1">
        <f>Table1[[#This Row],[Female %]]*Table1[[#This Row],[NWS_pin]]</f>
        <v>28289.663045821362</v>
      </c>
      <c r="CU167" s="1">
        <f>Table1[[#This Row],[Male %]]*Table1[[#This Row],[NWS_pin]]</f>
        <v>30429.336954178634</v>
      </c>
      <c r="CV167" s="1">
        <f>Table1[[#This Row],[Female% (0-2)22]]+Table1[[#This Row],[Male%(0-2)3]]</f>
        <v>3825.4178555754415</v>
      </c>
      <c r="CW167" s="1">
        <f>$CT167*Table1[[#This Row],[Female% (0-2)]]</f>
        <v>1883.0493396571658</v>
      </c>
      <c r="CX167" s="1">
        <f>$CU167*Table1[[#This Row],[Male%(0-2)]]</f>
        <v>1942.3685159182758</v>
      </c>
      <c r="CY167" s="1">
        <f>Table1[[#This Row],[Female%  (3-5)5]]+Table1[[#This Row],[Male% (3-5)6]]</f>
        <v>10798.236719935365</v>
      </c>
      <c r="CZ167" s="1">
        <f>$AF167*Table1[[#This Row],[Female%  (3-5)]]</f>
        <v>6190.2695869111276</v>
      </c>
      <c r="DA167" s="1">
        <f>$CU167*Table1[[#This Row],[Male% (3-5)]]</f>
        <v>4607.9671330242381</v>
      </c>
      <c r="DB167" s="1">
        <f>Table1[[#This Row],[Female% (6-8)8]]+Table1[[#This Row],[Male%(6-8)9]]</f>
        <v>5672.4832016931596</v>
      </c>
      <c r="DC167" s="1">
        <f>$CT167*Table1[[#This Row],[Female% (6-8)]]</f>
        <v>2811.5148705314218</v>
      </c>
      <c r="DD167" s="1">
        <f>$CU167*Table1[[#This Row],[Male%(6-8)]]</f>
        <v>2860.9683311617382</v>
      </c>
      <c r="DE167" s="1">
        <f>Table1[[#This Row],[Female% (9 - 11)11]]+Table1[[#This Row],[Male% (9 - 11)12]]</f>
        <v>5577.1853839987316</v>
      </c>
      <c r="DF167" s="1">
        <f>$CT167*Table1[[#This Row],[Female% (9 - 11)]]</f>
        <v>2564.6578955163945</v>
      </c>
      <c r="DG167" s="1">
        <f>$CU167*Table1[[#This Row],[Male% (9 - 11)]]</f>
        <v>3012.527488482337</v>
      </c>
      <c r="DH167" s="1">
        <f>Table1[[#This Row],[Female% (12-14)14]]+Table1[[#This Row],[Male%(12-14)15]]</f>
        <v>3447.5805713051313</v>
      </c>
      <c r="DI167" s="1">
        <f>$CT167*Table1[[#This Row],[Female% (12-14)]]</f>
        <v>1723.7902856525668</v>
      </c>
      <c r="DJ167" s="1">
        <f>$CU167*Table1[[#This Row],[Male%(12-14)]]</f>
        <v>1723.7902856525645</v>
      </c>
      <c r="DK167" s="1">
        <f>Table1[[#This Row],[Female% (15-17)17]]+Table1[[#This Row],[Male%(15-17)18]]</f>
        <v>1093.7207277785128</v>
      </c>
      <c r="DL167" s="1">
        <f>$CT167*Table1[[#This Row],[Female% (15-17)]]</f>
        <v>219.85559959512148</v>
      </c>
      <c r="DM167" s="1">
        <f>$CU167*Table1[[#This Row],[Male%(15-17)]]</f>
        <v>873.86512818339145</v>
      </c>
      <c r="DN167" s="1">
        <f>$AF167*Table1[[#This Row],[Total% (18-19)]]</f>
        <v>842.55709136516225</v>
      </c>
      <c r="DO167" s="1">
        <f>$CT167*Table1[[#This Row],[Female% (18-19)]]</f>
        <v>432.94256897266052</v>
      </c>
      <c r="DP167" s="1">
        <f>$CU167*Table1[[#This Row],[Male%(18-19)]]</f>
        <v>409.61452239250144</v>
      </c>
      <c r="DQ167" s="1">
        <f>$AF167*Table1[[#This Row],[Total% (20-24)]]</f>
        <v>2723.2336639718837</v>
      </c>
      <c r="DR167" s="1">
        <f>$CT167*Table1[[#This Row],[Female% (20-24)]]</f>
        <v>1974.7130772901216</v>
      </c>
      <c r="DS167" s="1">
        <f>$CU167*Table1[[#This Row],[Male% (20-24)]]</f>
        <v>748.52058668176153</v>
      </c>
      <c r="DT167" s="1">
        <f>$AF167*Table1[[#This Row],[Total% (25-29)]]</f>
        <v>4168.1364034637954</v>
      </c>
      <c r="DU167" s="1">
        <f>$CT167*Table1[[#This Row],[Female% (25-29)]]</f>
        <v>2639.0396824593863</v>
      </c>
      <c r="DV167" s="1">
        <f>$CU167*Table1[[#This Row],[Male% (25-29)]]</f>
        <v>1529.0967210044114</v>
      </c>
      <c r="DW167" s="1">
        <f>$AF167*Table1[[#This Row],[Total%   (30-34)]]</f>
        <v>6818.3387952725552</v>
      </c>
      <c r="DX167" s="1">
        <f>$CT167*Table1[[#This Row],[Female%   (30-34)]]</f>
        <v>4208.9587009436873</v>
      </c>
      <c r="DY167" s="1">
        <f>$CU167*Table1[[#This Row],[Male%  (30-34)]]</f>
        <v>2609.3800943288315</v>
      </c>
      <c r="DZ167" s="1">
        <f>$AF167*Table1[[#This Row],[Total% (35-39)]]</f>
        <v>4245.2602527801228</v>
      </c>
      <c r="EA167" s="1">
        <f>$CT167*Table1[[#This Row],[Female% (35-39)]]</f>
        <v>1706.6314334035628</v>
      </c>
      <c r="EB167" s="1">
        <f>$CU167*Table1[[#This Row],[Male% (35-39)]]</f>
        <v>2538.6288193765567</v>
      </c>
      <c r="EC167" s="1">
        <f>$AF167*Table1[[#This Row],[Total% (40-44)]]</f>
        <v>3515.3043382238661</v>
      </c>
      <c r="ED167" s="1">
        <f>$CT167*Table1[[#This Row],[Female% (40-44)]]</f>
        <v>972.38491376736965</v>
      </c>
      <c r="EE167" s="1">
        <f>$CU167*Table1[[#This Row],[Male%(55-59)]]</f>
        <v>2542.9194244564969</v>
      </c>
      <c r="EF167" s="1">
        <f>$AF167*Table1[[#This Row],[Total% (45-49)]]</f>
        <v>2166.4487112844126</v>
      </c>
      <c r="EG167" s="1">
        <f>$CT167*Table1[[#This Row],[Female% (45-49)]]</f>
        <v>1137.8042419262447</v>
      </c>
      <c r="EH167" s="1">
        <f>$CU167*Table1[[#This Row],[Male% (45-49)]]</f>
        <v>1028.6444693581673</v>
      </c>
      <c r="EI167" s="1">
        <f>$AF167*Table1[[#This Row],[Total% (50-54)]]</f>
        <v>1886.5995700559508</v>
      </c>
      <c r="EJ167" s="1">
        <f>$CT167*Table1[[#This Row],[Female%(50-54)]]</f>
        <v>666.62265869852831</v>
      </c>
      <c r="EK167" s="1">
        <f>$CU167*Table1[[#This Row],[Male% (50-54)]]</f>
        <v>1219.9769113574218</v>
      </c>
      <c r="EL167" s="1">
        <f>$AF167*Table1[[#This Row],[Total% (55-59)]]</f>
        <v>1483.7394055980214</v>
      </c>
      <c r="EM167" s="1">
        <f>$CT167*Table1[[#This Row],[Female% (55-59)]]</f>
        <v>952.00230959344128</v>
      </c>
      <c r="EN167" s="1">
        <f>$CU167*Table1[[#This Row],[Male% (55-59)]]</f>
        <v>531.73709600458369</v>
      </c>
      <c r="EO167" s="1">
        <f>$AF167*Table1[[#This Row],[Total% (60-64)]]</f>
        <v>702.6262766271152</v>
      </c>
      <c r="EP167" s="1">
        <f>$CT167*Table1[[#This Row],[Female%(60-64)]]</f>
        <v>449.62686781157447</v>
      </c>
      <c r="EQ167" s="1">
        <f>$CU167*Table1[[#This Row],[Male%(60-64)]]</f>
        <v>252.99940881553928</v>
      </c>
      <c r="ER167" s="1">
        <f>$AF167*Table1[[#This Row],[Total% (&gt;=65)]]</f>
        <v>2960.0500878892426</v>
      </c>
      <c r="ES167" s="1">
        <f>$CT167*Table1[[#This Row],[Female%(&gt;=65)]]</f>
        <v>963.71806990943105</v>
      </c>
      <c r="ET167" s="1">
        <f>$CU167*Table1[[#This Row],[Male% (&gt;=65)]]</f>
        <v>1996.33201797981</v>
      </c>
    </row>
    <row r="168" spans="1:150" x14ac:dyDescent="0.35">
      <c r="A168" t="s">
        <v>192</v>
      </c>
      <c r="B168" t="s">
        <v>193</v>
      </c>
      <c r="C168" t="s">
        <v>341</v>
      </c>
      <c r="D168" t="s">
        <v>342</v>
      </c>
      <c r="E168" t="s">
        <v>490</v>
      </c>
      <c r="F168" t="s">
        <v>491</v>
      </c>
      <c r="G168" t="s">
        <v>1143</v>
      </c>
      <c r="H168">
        <v>4</v>
      </c>
      <c r="I168" s="1">
        <v>0</v>
      </c>
      <c r="J168" s="1">
        <v>2672</v>
      </c>
      <c r="K168" s="1">
        <v>64118</v>
      </c>
      <c r="L168" s="1">
        <v>22263</v>
      </c>
      <c r="M168" s="1">
        <v>0</v>
      </c>
      <c r="N168" s="1">
        <v>86381</v>
      </c>
      <c r="O168" s="3">
        <v>0</v>
      </c>
      <c r="P168" s="3">
        <v>0</v>
      </c>
      <c r="Q168" s="3">
        <v>1</v>
      </c>
      <c r="R168" s="3">
        <v>0</v>
      </c>
      <c r="S168" s="3">
        <v>0</v>
      </c>
      <c r="T168" s="1">
        <v>89053</v>
      </c>
      <c r="U168" s="1">
        <v>89049.5</v>
      </c>
      <c r="V168" s="10">
        <f>Table1[[#This Row],[Pop NW+RATAA]]*Table1[[#This Row],[Perc_pop_Northern_Aleppo]]</f>
        <v>0</v>
      </c>
      <c r="W168" s="10">
        <f>Table1[[#This Row],[Pop NW+RATAA]]*Table1[[#This Row],[Perc_pop_Afrin District]]</f>
        <v>0</v>
      </c>
      <c r="X168" s="10">
        <f>Table1[[#This Row],[Pop NW+RATAA]]*Table1[[#This Row],[Perc_pop_Euphrates Shiled]]</f>
        <v>0</v>
      </c>
      <c r="Y168" s="10">
        <f>Table1[[#This Row],[Pop NW+RATAA]]*Table1[[#This Row],[Perc_Pop_Idleb_NSAG]]</f>
        <v>89049.5</v>
      </c>
      <c r="Z168" s="3">
        <v>0</v>
      </c>
      <c r="AA168" s="3">
        <v>0</v>
      </c>
      <c r="AB168" s="3">
        <v>0</v>
      </c>
      <c r="AC168" s="3">
        <v>1</v>
      </c>
      <c r="AD168" s="1">
        <v>0</v>
      </c>
      <c r="AE168" s="1">
        <v>0</v>
      </c>
      <c r="AF168" s="1">
        <v>86381</v>
      </c>
      <c r="AG168" s="1">
        <v>0</v>
      </c>
      <c r="AH168" s="1">
        <v>0</v>
      </c>
      <c r="AI168" s="1">
        <f>Table1[[#This Row],[NWS_pin]]*Table1[[#This Row],[Perc_pop_Northern_Aleppo]]</f>
        <v>0</v>
      </c>
      <c r="AJ168" s="1">
        <f>Table1[[#This Row],[NWS_pin]]*Table1[[#This Row],[Perc_pop_Afrin District]]</f>
        <v>0</v>
      </c>
      <c r="AK168" s="1">
        <f>Table1[[#This Row],[NWS_pin]]*Table1[[#This Row],[Perc_pop_Euphrates Shiled]]</f>
        <v>0</v>
      </c>
      <c r="AL168" s="1">
        <f>Table1[[#This Row],[NWS_pin]]*Table1[[#This Row],[Perc_Pop_Idleb_NSAG]]</f>
        <v>86381</v>
      </c>
      <c r="AM168" s="4">
        <v>0.52106400197442204</v>
      </c>
      <c r="AN168" s="4">
        <v>0.47893599802557801</v>
      </c>
      <c r="AO168" s="4">
        <v>0.21879196686257699</v>
      </c>
      <c r="AP168" s="4">
        <v>0.41403494454541301</v>
      </c>
      <c r="AQ168" s="4">
        <v>0.554631442060187</v>
      </c>
      <c r="AR168" s="4">
        <v>5.4999334212874201E-3</v>
      </c>
      <c r="AS168" s="4">
        <v>0</v>
      </c>
      <c r="AT168" s="4">
        <v>2.5833679973112401E-2</v>
      </c>
      <c r="AU168" s="4">
        <v>8.7793163384578501E-2</v>
      </c>
      <c r="AV168" s="4">
        <v>9.5475235727572605E-2</v>
      </c>
      <c r="AW168" s="4">
        <v>7.9435363229653194E-2</v>
      </c>
      <c r="AX168" s="4">
        <v>0.111612832707738</v>
      </c>
      <c r="AY168" s="4">
        <v>0.102142122685244</v>
      </c>
      <c r="AZ168" s="4">
        <v>0.121916602076096</v>
      </c>
      <c r="BA168" s="4">
        <v>8.6603267681847701E-2</v>
      </c>
      <c r="BB168" s="4">
        <v>7.6411381788283494E-2</v>
      </c>
      <c r="BC168" s="4">
        <v>9.7691648745831999E-2</v>
      </c>
      <c r="BD168" s="4">
        <v>5.9255639232989397E-2</v>
      </c>
      <c r="BE168" s="4">
        <v>5.7452878782283098E-2</v>
      </c>
      <c r="BF168" s="4">
        <v>6.1216973479984303E-2</v>
      </c>
      <c r="BG168" s="4">
        <v>7.0222846872564706E-2</v>
      </c>
      <c r="BH168" s="4">
        <v>6.6127731203508094E-2</v>
      </c>
      <c r="BI168" s="4">
        <v>7.4678175701183694E-2</v>
      </c>
      <c r="BJ168" s="4">
        <v>5.6965137607542703E-2</v>
      </c>
      <c r="BK168" s="4">
        <v>7.1022078989875004E-2</v>
      </c>
      <c r="BL168" s="4">
        <v>4.1671724369879301E-2</v>
      </c>
      <c r="BM168" s="4">
        <v>2.3036641706040899E-2</v>
      </c>
      <c r="BN168" s="4">
        <v>2.0412423635151399E-2</v>
      </c>
      <c r="BO168" s="4">
        <v>2.58916903465864E-2</v>
      </c>
      <c r="BP168" s="4">
        <v>8.3538772750055501E-2</v>
      </c>
      <c r="BQ168" s="4">
        <v>9.4105906844117598E-2</v>
      </c>
      <c r="BR168" s="4">
        <v>7.20421360320984E-2</v>
      </c>
      <c r="BS168" s="4">
        <v>7.4845051442094801E-2</v>
      </c>
      <c r="BT168" s="4">
        <v>7.7933100213617504E-2</v>
      </c>
      <c r="BU168" s="4">
        <v>7.1485372783954101E-2</v>
      </c>
      <c r="BV168" s="4">
        <v>7.5803336585685194E-2</v>
      </c>
      <c r="BW168" s="4">
        <v>7.7191211943919105E-2</v>
      </c>
      <c r="BX168" s="4">
        <v>7.4293381411331405E-2</v>
      </c>
      <c r="BY168" s="4">
        <v>4.4888532810104902E-2</v>
      </c>
      <c r="BZ168" s="4">
        <v>4.4452495864684298E-2</v>
      </c>
      <c r="CA168" s="4">
        <v>4.5362924287726702E-2</v>
      </c>
      <c r="CB168" s="4">
        <v>3.0363467742811099E-2</v>
      </c>
      <c r="CC168" s="4">
        <v>3.2754965780384102E-2</v>
      </c>
      <c r="CD168" s="4">
        <v>2.77616095753128E-2</v>
      </c>
      <c r="CE168" s="4">
        <v>5.3788422761666399E-2</v>
      </c>
      <c r="CF168" s="4">
        <v>5.9656151658694097E-2</v>
      </c>
      <c r="CG168" s="4">
        <v>4.7404558708451401E-2</v>
      </c>
      <c r="CH168" s="4">
        <v>4.3823091827975703E-2</v>
      </c>
      <c r="CI168" s="4">
        <v>5.3193046838403001E-2</v>
      </c>
      <c r="CJ168" s="4">
        <v>3.3628940049489499E-2</v>
      </c>
      <c r="CK168" s="4">
        <v>3.0233017156763901E-2</v>
      </c>
      <c r="CL168" s="4">
        <v>2.32905644827405E-2</v>
      </c>
      <c r="CM168" s="4">
        <v>3.77861394711392E-2</v>
      </c>
      <c r="CN168" s="4">
        <v>3.8532793899903703E-2</v>
      </c>
      <c r="CO168" s="4">
        <v>2.79362685165928E-2</v>
      </c>
      <c r="CP168" s="4">
        <v>5.0061407213611402E-2</v>
      </c>
      <c r="CQ168" s="4">
        <v>2.8693983829637001E-2</v>
      </c>
      <c r="CR168" s="4">
        <v>2.04424350449296E-2</v>
      </c>
      <c r="CS168" s="4">
        <v>3.7671352517670398E-2</v>
      </c>
      <c r="CT168" s="1">
        <f>Table1[[#This Row],[Female %]]*Table1[[#This Row],[NWS_pin]]</f>
        <v>45010.029554552551</v>
      </c>
      <c r="CU168" s="1">
        <f>Table1[[#This Row],[Male %]]*Table1[[#This Row],[NWS_pin]]</f>
        <v>41370.970445447456</v>
      </c>
      <c r="CV168" s="1">
        <f>Table1[[#This Row],[Female% (0-2)22]]+Table1[[#This Row],[Male%(0-2)3]]</f>
        <v>7583.6612463232814</v>
      </c>
      <c r="CW168" s="1">
        <f>$CT168*Table1[[#This Row],[Female% (0-2)]]</f>
        <v>4297.3431818259151</v>
      </c>
      <c r="CX168" s="1">
        <f>$CU168*Table1[[#This Row],[Male%(0-2)]]</f>
        <v>3286.3180644973659</v>
      </c>
      <c r="CY168" s="1">
        <f>Table1[[#This Row],[Female%  (3-5)5]]+Table1[[#This Row],[Male% (3-5)6]]</f>
        <v>13866.946840973607</v>
      </c>
      <c r="CZ168" s="1">
        <f>$AF168*Table1[[#This Row],[Female%  (3-5)]]</f>
        <v>8823.1386996740621</v>
      </c>
      <c r="DA168" s="1">
        <f>$CU168*Table1[[#This Row],[Male% (3-5)]]</f>
        <v>5043.8081412995462</v>
      </c>
      <c r="DB168" s="1">
        <f>Table1[[#This Row],[Female% (6-8)8]]+Table1[[#This Row],[Male%(6-8)9]]</f>
        <v>7480.8768656256889</v>
      </c>
      <c r="DC168" s="1">
        <f>$CT168*Table1[[#This Row],[Female% (6-8)]]</f>
        <v>3439.2785525948389</v>
      </c>
      <c r="DD168" s="1">
        <f>$CU168*Table1[[#This Row],[Male%(6-8)]]</f>
        <v>4041.5983130308496</v>
      </c>
      <c r="DE168" s="1">
        <f>Table1[[#This Row],[Female% (9 - 11)11]]+Table1[[#This Row],[Male% (9 - 11)12]]</f>
        <v>5118.5613725848589</v>
      </c>
      <c r="DF168" s="1">
        <f>$CT168*Table1[[#This Row],[Female% (9 - 11)]]</f>
        <v>2585.9557719846875</v>
      </c>
      <c r="DG168" s="1">
        <f>$CU168*Table1[[#This Row],[Male% (9 - 11)]]</f>
        <v>2532.6056006001713</v>
      </c>
      <c r="DH168" s="1">
        <f>Table1[[#This Row],[Female% (12-14)14]]+Table1[[#This Row],[Male%(12-14)15]]</f>
        <v>6065.9197356990089</v>
      </c>
      <c r="DI168" s="1">
        <f>$CT168*Table1[[#This Row],[Female% (12-14)]]</f>
        <v>2976.4111358454061</v>
      </c>
      <c r="DJ168" s="1">
        <f>$CU168*Table1[[#This Row],[Male%(12-14)]]</f>
        <v>3089.5085998536028</v>
      </c>
      <c r="DK168" s="1">
        <f>Table1[[#This Row],[Female% (15-17)17]]+Table1[[#This Row],[Male%(15-17)18]]</f>
        <v>4920.7055516771488</v>
      </c>
      <c r="DL168" s="1">
        <f>$CT168*Table1[[#This Row],[Female% (15-17)]]</f>
        <v>3196.7058743600396</v>
      </c>
      <c r="DM168" s="1">
        <f>$CU168*Table1[[#This Row],[Male%(15-17)]]</f>
        <v>1723.999677317109</v>
      </c>
      <c r="DN168" s="1">
        <f>$AF168*Table1[[#This Row],[Total% (18-19)]]</f>
        <v>1989.928147209519</v>
      </c>
      <c r="DO168" s="1">
        <f>$CT168*Table1[[#This Row],[Female% (18-19)]]</f>
        <v>918.76379109821153</v>
      </c>
      <c r="DP168" s="1">
        <f>$CU168*Table1[[#This Row],[Male%(18-19)]]</f>
        <v>1071.1643561113033</v>
      </c>
      <c r="DQ168" s="1">
        <f>$AF168*Table1[[#This Row],[Total% (20-24)]]</f>
        <v>7216.1627289225444</v>
      </c>
      <c r="DR168" s="1">
        <f>$CT168*Table1[[#This Row],[Female% (20-24)]]</f>
        <v>4235.709648311702</v>
      </c>
      <c r="DS168" s="1">
        <f>$CU168*Table1[[#This Row],[Male% (20-24)]]</f>
        <v>2980.4530806108482</v>
      </c>
      <c r="DT168" s="1">
        <f>$AF168*Table1[[#This Row],[Total% (25-29)]]</f>
        <v>6465.1903886195914</v>
      </c>
      <c r="DU168" s="1">
        <f>$CT168*Table1[[#This Row],[Female% (25-29)]]</f>
        <v>3507.7711438928295</v>
      </c>
      <c r="DV168" s="1">
        <f>$CU168*Table1[[#This Row],[Male% (25-29)]]</f>
        <v>2957.4192447267592</v>
      </c>
      <c r="DW168" s="1">
        <f>$AF168*Table1[[#This Row],[Total%   (30-34)]]</f>
        <v>6547.9680176080728</v>
      </c>
      <c r="DX168" s="1">
        <f>$CT168*Table1[[#This Row],[Female%   (30-34)]]</f>
        <v>3474.3787309475288</v>
      </c>
      <c r="DY168" s="1">
        <f>$CU168*Table1[[#This Row],[Male%  (30-34)]]</f>
        <v>3073.5892866605468</v>
      </c>
      <c r="DZ168" s="1">
        <f>$AF168*Table1[[#This Row],[Total% (35-39)]]</f>
        <v>3877.5163526696715</v>
      </c>
      <c r="EA168" s="1">
        <f>$CT168*Table1[[#This Row],[Female% (35-39)]]</f>
        <v>2000.8081526430653</v>
      </c>
      <c r="EB168" s="1">
        <f>$CU168*Table1[[#This Row],[Male% (35-39)]]</f>
        <v>1876.7082000266121</v>
      </c>
      <c r="EC168" s="1">
        <f>$AF168*Table1[[#This Row],[Total% (40-44)]]</f>
        <v>2622.8267070917655</v>
      </c>
      <c r="ED168" s="1">
        <f>$CT168*Table1[[#This Row],[Female% (40-44)]]</f>
        <v>1474.3019778334458</v>
      </c>
      <c r="EE168" s="1">
        <f>$CU168*Table1[[#This Row],[Male%(55-59)]]</f>
        <v>1148.5247292583169</v>
      </c>
      <c r="EF168" s="1">
        <f>$AF168*Table1[[#This Row],[Total% (45-49)]]</f>
        <v>4646.2977465755048</v>
      </c>
      <c r="EG168" s="1">
        <f>$CT168*Table1[[#This Row],[Female% (45-49)]]</f>
        <v>2685.1251492686906</v>
      </c>
      <c r="EH168" s="1">
        <f>$CU168*Table1[[#This Row],[Male% (45-49)]]</f>
        <v>1961.1725973068217</v>
      </c>
      <c r="EI168" s="1">
        <f>$AF168*Table1[[#This Row],[Total% (50-54)]]</f>
        <v>3785.4824951923692</v>
      </c>
      <c r="EJ168" s="1">
        <f>$CT168*Table1[[#This Row],[Female%(50-54)]]</f>
        <v>2394.2206102932173</v>
      </c>
      <c r="EK168" s="1">
        <f>$CU168*Table1[[#This Row],[Male% (50-54)]]</f>
        <v>1391.2618848991544</v>
      </c>
      <c r="EL168" s="1">
        <f>$AF168*Table1[[#This Row],[Total% (55-59)]]</f>
        <v>2611.5582550184226</v>
      </c>
      <c r="EM168" s="1">
        <f>$CT168*Table1[[#This Row],[Female% (55-59)]]</f>
        <v>1048.3089957103618</v>
      </c>
      <c r="EN168" s="1">
        <f>$CU168*Table1[[#This Row],[Male% (55-59)]]</f>
        <v>1563.2492593080553</v>
      </c>
      <c r="EO168" s="1">
        <f>$AF168*Table1[[#This Row],[Total% (60-64)]]</f>
        <v>3328.5012698675819</v>
      </c>
      <c r="EP168" s="1">
        <f>$CT168*Table1[[#This Row],[Female%(60-64)]]</f>
        <v>1257.4122715757578</v>
      </c>
      <c r="EQ168" s="1">
        <f>$CU168*Table1[[#This Row],[Male%(60-64)]]</f>
        <v>2071.0889982918275</v>
      </c>
      <c r="ER168" s="1">
        <f>$AF168*Table1[[#This Row],[Total% (&gt;=65)]]</f>
        <v>2478.6150171878739</v>
      </c>
      <c r="ES168" s="1">
        <f>$CT168*Table1[[#This Row],[Female%(&gt;=65)]]</f>
        <v>920.11460553930215</v>
      </c>
      <c r="ET168" s="1">
        <f>$CU168*Table1[[#This Row],[Male% (&gt;=65)]]</f>
        <v>1558.5004116485745</v>
      </c>
    </row>
    <row r="169" spans="1:150" x14ac:dyDescent="0.35">
      <c r="A169" t="s">
        <v>192</v>
      </c>
      <c r="B169" t="s">
        <v>193</v>
      </c>
      <c r="C169" t="s">
        <v>341</v>
      </c>
      <c r="D169" t="s">
        <v>342</v>
      </c>
      <c r="E169" t="s">
        <v>479</v>
      </c>
      <c r="F169" t="s">
        <v>480</v>
      </c>
      <c r="G169" t="s">
        <v>1143</v>
      </c>
      <c r="H169">
        <v>4</v>
      </c>
      <c r="I169" s="1">
        <v>0</v>
      </c>
      <c r="J169" s="1">
        <v>2402</v>
      </c>
      <c r="K169" s="1">
        <v>42648</v>
      </c>
      <c r="L169" s="1">
        <v>15017</v>
      </c>
      <c r="M169" s="1">
        <v>0</v>
      </c>
      <c r="N169" s="1">
        <v>57665</v>
      </c>
      <c r="O169" s="3">
        <v>0</v>
      </c>
      <c r="P169" s="3">
        <v>0</v>
      </c>
      <c r="Q169" s="3">
        <v>1</v>
      </c>
      <c r="R169" s="3">
        <v>0</v>
      </c>
      <c r="S169" s="3">
        <v>0</v>
      </c>
      <c r="T169" s="1">
        <v>60067</v>
      </c>
      <c r="U169" s="1">
        <v>60063.5</v>
      </c>
      <c r="V169" s="10">
        <f>Table1[[#This Row],[Pop NW+RATAA]]*Table1[[#This Row],[Perc_pop_Northern_Aleppo]]</f>
        <v>0</v>
      </c>
      <c r="W169" s="10">
        <f>Table1[[#This Row],[Pop NW+RATAA]]*Table1[[#This Row],[Perc_pop_Afrin District]]</f>
        <v>0</v>
      </c>
      <c r="X169" s="10">
        <f>Table1[[#This Row],[Pop NW+RATAA]]*Table1[[#This Row],[Perc_pop_Euphrates Shiled]]</f>
        <v>0</v>
      </c>
      <c r="Y169" s="10">
        <f>Table1[[#This Row],[Pop NW+RATAA]]*Table1[[#This Row],[Perc_Pop_Idleb_NSAG]]</f>
        <v>60063.5</v>
      </c>
      <c r="Z169" s="3">
        <v>0</v>
      </c>
      <c r="AA169" s="3">
        <v>0</v>
      </c>
      <c r="AB169" s="3">
        <v>0</v>
      </c>
      <c r="AC169" s="3">
        <v>1</v>
      </c>
      <c r="AD169" s="1">
        <v>0</v>
      </c>
      <c r="AE169" s="1">
        <v>0</v>
      </c>
      <c r="AF169" s="1">
        <v>57665</v>
      </c>
      <c r="AG169" s="1">
        <v>0</v>
      </c>
      <c r="AH169" s="1">
        <v>0</v>
      </c>
      <c r="AI169" s="1">
        <f>Table1[[#This Row],[NWS_pin]]*Table1[[#This Row],[Perc_pop_Northern_Aleppo]]</f>
        <v>0</v>
      </c>
      <c r="AJ169" s="1">
        <f>Table1[[#This Row],[NWS_pin]]*Table1[[#This Row],[Perc_pop_Afrin District]]</f>
        <v>0</v>
      </c>
      <c r="AK169" s="1">
        <f>Table1[[#This Row],[NWS_pin]]*Table1[[#This Row],[Perc_pop_Euphrates Shiled]]</f>
        <v>0</v>
      </c>
      <c r="AL169" s="1">
        <f>Table1[[#This Row],[NWS_pin]]*Table1[[#This Row],[Perc_Pop_Idleb_NSAG]]</f>
        <v>57665</v>
      </c>
      <c r="AM169" s="4">
        <v>0.47861460676885498</v>
      </c>
      <c r="AN169" s="4">
        <v>0.52138539323114497</v>
      </c>
      <c r="AO169" s="4">
        <v>0.170821905171884</v>
      </c>
      <c r="AP169" s="4">
        <v>0.48146835512184899</v>
      </c>
      <c r="AQ169" s="4">
        <v>0.47814972718598697</v>
      </c>
      <c r="AR169" s="4">
        <v>3.7453314909979998E-3</v>
      </c>
      <c r="AS169" s="4">
        <v>2.0848116149064801E-3</v>
      </c>
      <c r="AT169" s="4">
        <v>3.4551774586259201E-2</v>
      </c>
      <c r="AU169" s="4">
        <v>7.1826258646797495E-2</v>
      </c>
      <c r="AV169" s="4">
        <v>7.5253492684758796E-2</v>
      </c>
      <c r="AW169" s="4">
        <v>6.8680170757341702E-2</v>
      </c>
      <c r="AX169" s="4">
        <v>0.119692863127522</v>
      </c>
      <c r="AY169" s="4">
        <v>0.10078714789143001</v>
      </c>
      <c r="AZ169" s="4">
        <v>0.137047686605277</v>
      </c>
      <c r="BA169" s="4">
        <v>0.108881254885607</v>
      </c>
      <c r="BB169" s="4">
        <v>7.8954739537213103E-2</v>
      </c>
      <c r="BC169" s="4">
        <v>0.13635280963452101</v>
      </c>
      <c r="BD169" s="4">
        <v>9.0491408179016297E-2</v>
      </c>
      <c r="BE169" s="4">
        <v>8.9280588806530406E-2</v>
      </c>
      <c r="BF169" s="4">
        <v>9.1602900455850303E-2</v>
      </c>
      <c r="BG169" s="4">
        <v>7.0992755291760107E-2</v>
      </c>
      <c r="BH169" s="4">
        <v>7.4232044533639102E-2</v>
      </c>
      <c r="BI169" s="4">
        <v>6.8019194530679894E-2</v>
      </c>
      <c r="BJ169" s="4">
        <v>6.5329369727529105E-2</v>
      </c>
      <c r="BK169" s="4">
        <v>5.3259754957271803E-2</v>
      </c>
      <c r="BL169" s="4">
        <v>7.6408878287059001E-2</v>
      </c>
      <c r="BM169" s="4">
        <v>2.5598628871330902E-2</v>
      </c>
      <c r="BN169" s="4">
        <v>3.0456629447106701E-2</v>
      </c>
      <c r="BO169" s="4">
        <v>2.1139144456455899E-2</v>
      </c>
      <c r="BP169" s="4">
        <v>7.57783800746301E-2</v>
      </c>
      <c r="BQ169" s="4">
        <v>9.9402648542638E-2</v>
      </c>
      <c r="BR169" s="4">
        <v>5.4092080247651997E-2</v>
      </c>
      <c r="BS169" s="4">
        <v>6.44293536517037E-2</v>
      </c>
      <c r="BT169" s="4">
        <v>8.8594830776066405E-2</v>
      </c>
      <c r="BU169" s="4">
        <v>4.22462421157596E-2</v>
      </c>
      <c r="BV169" s="4">
        <v>6.8774475501742399E-2</v>
      </c>
      <c r="BW169" s="4">
        <v>6.2862867868839004E-2</v>
      </c>
      <c r="BX169" s="4">
        <v>7.4201136469475903E-2</v>
      </c>
      <c r="BY169" s="4">
        <v>4.5834767441954097E-2</v>
      </c>
      <c r="BZ169" s="4">
        <v>4.9334618518544301E-2</v>
      </c>
      <c r="CA169" s="4">
        <v>4.2622019504404703E-2</v>
      </c>
      <c r="CB169" s="4">
        <v>6.0758541907674601E-2</v>
      </c>
      <c r="CC169" s="4">
        <v>6.02249522924279E-2</v>
      </c>
      <c r="CD169" s="4">
        <v>6.1248359588017699E-2</v>
      </c>
      <c r="CE169" s="4">
        <v>4.1694638257679703E-2</v>
      </c>
      <c r="CF169" s="4">
        <v>5.8761591491426401E-2</v>
      </c>
      <c r="CG169" s="4">
        <v>2.6027737694758201E-2</v>
      </c>
      <c r="CH169" s="4">
        <v>2.7765976948163899E-2</v>
      </c>
      <c r="CI169" s="4">
        <v>4.0674236564641301E-2</v>
      </c>
      <c r="CJ169" s="4">
        <v>1.59166200605005E-2</v>
      </c>
      <c r="CK169" s="4">
        <v>3.6653825568893801E-2</v>
      </c>
      <c r="CL169" s="4">
        <v>2.4042789069898901E-2</v>
      </c>
      <c r="CM169" s="4">
        <v>4.8230341430814498E-2</v>
      </c>
      <c r="CN169" s="4">
        <v>1.6332923555134899E-2</v>
      </c>
      <c r="CO169" s="4">
        <v>8.84609105660643E-3</v>
      </c>
      <c r="CP169" s="4">
        <v>2.32055890320499E-2</v>
      </c>
      <c r="CQ169" s="4">
        <v>9.1645783628595701E-3</v>
      </c>
      <c r="CR169" s="4">
        <v>5.0309759609616601E-3</v>
      </c>
      <c r="CS169" s="4">
        <v>1.2959089129382101E-2</v>
      </c>
      <c r="CT169" s="1">
        <f>Table1[[#This Row],[Female %]]*Table1[[#This Row],[NWS_pin]]</f>
        <v>27599.311299326022</v>
      </c>
      <c r="CU169" s="1">
        <f>Table1[[#This Row],[Male %]]*Table1[[#This Row],[NWS_pin]]</f>
        <v>30065.688700673974</v>
      </c>
      <c r="CV169" s="1">
        <f>Table1[[#This Row],[Female% (0-2)22]]+Table1[[#This Row],[Male%(0-2)3]]</f>
        <v>4141.8612048675795</v>
      </c>
      <c r="CW169" s="1">
        <f>$CT169*Table1[[#This Row],[Female% (0-2)]]</f>
        <v>2076.9445709682118</v>
      </c>
      <c r="CX169" s="1">
        <f>$CU169*Table1[[#This Row],[Male%(0-2)]]</f>
        <v>2064.9166338993678</v>
      </c>
      <c r="CY169" s="1">
        <f>Table1[[#This Row],[Female%  (3-5)5]]+Table1[[#This Row],[Male% (3-5)6]]</f>
        <v>9932.3239657810955</v>
      </c>
      <c r="CZ169" s="1">
        <f>$AF169*Table1[[#This Row],[Female%  (3-5)]]</f>
        <v>5811.8908831593117</v>
      </c>
      <c r="DA169" s="1">
        <f>$CU169*Table1[[#This Row],[Male% (3-5)]]</f>
        <v>4120.4330826217847</v>
      </c>
      <c r="DB169" s="1">
        <f>Table1[[#This Row],[Female% (6-8)8]]+Table1[[#This Row],[Male%(6-8)9]]</f>
        <v>6278.6375629785161</v>
      </c>
      <c r="DC169" s="1">
        <f>$CT169*Table1[[#This Row],[Female% (6-8)]]</f>
        <v>2179.0964350447484</v>
      </c>
      <c r="DD169" s="1">
        <f>$CU169*Table1[[#This Row],[Male%(6-8)]]</f>
        <v>4099.5411279337677</v>
      </c>
      <c r="DE169" s="1">
        <f>Table1[[#This Row],[Female% (9 - 11)11]]+Table1[[#This Row],[Male% (9 - 11)12]]</f>
        <v>5218.1870526429757</v>
      </c>
      <c r="DF169" s="1">
        <f>$CT169*Table1[[#This Row],[Female% (9 - 11)]]</f>
        <v>2464.0827634585548</v>
      </c>
      <c r="DG169" s="1">
        <f>$CU169*Table1[[#This Row],[Male% (9 - 11)]]</f>
        <v>2754.1042891844213</v>
      </c>
      <c r="DH169" s="1">
        <f>Table1[[#This Row],[Female% (12-14)14]]+Table1[[#This Row],[Male%(12-14)15]]</f>
        <v>4093.7972338993459</v>
      </c>
      <c r="DI169" s="1">
        <f>$CT169*Table1[[#This Row],[Female% (12-14)]]</f>
        <v>2048.7533054693381</v>
      </c>
      <c r="DJ169" s="1">
        <f>$CU169*Table1[[#This Row],[Male%(12-14)]]</f>
        <v>2045.0439284300076</v>
      </c>
      <c r="DK169" s="1">
        <f>Table1[[#This Row],[Female% (15-17)17]]+Table1[[#This Row],[Male%(15-17)18]]</f>
        <v>3767.21810533797</v>
      </c>
      <c r="DL169" s="1">
        <f>$CT169*Table1[[#This Row],[Female% (15-17)]]</f>
        <v>1469.9325567915669</v>
      </c>
      <c r="DM169" s="1">
        <f>$CU169*Table1[[#This Row],[Male%(15-17)]]</f>
        <v>2297.2855485464029</v>
      </c>
      <c r="DN169" s="1">
        <f>$AF169*Table1[[#This Row],[Total% (18-19)]]</f>
        <v>1476.1449338652965</v>
      </c>
      <c r="DO169" s="1">
        <f>$CT169*Table1[[#This Row],[Female% (18-19)]]</f>
        <v>840.58199723891767</v>
      </c>
      <c r="DP169" s="1">
        <f>$CU169*Table1[[#This Row],[Male%(18-19)]]</f>
        <v>635.56293662638097</v>
      </c>
      <c r="DQ169" s="1">
        <f>$AF169*Table1[[#This Row],[Total% (20-24)]]</f>
        <v>4369.7602870035444</v>
      </c>
      <c r="DR169" s="1">
        <f>$CT169*Table1[[#This Row],[Female% (20-24)]]</f>
        <v>2743.4446411057625</v>
      </c>
      <c r="DS169" s="1">
        <f>$CU169*Table1[[#This Row],[Male% (20-24)]]</f>
        <v>1626.3156458977805</v>
      </c>
      <c r="DT169" s="1">
        <f>$AF169*Table1[[#This Row],[Total% (25-29)]]</f>
        <v>3715.3186783254937</v>
      </c>
      <c r="DU169" s="1">
        <f>$CT169*Table1[[#This Row],[Female% (25-29)]]</f>
        <v>2445.1563140997664</v>
      </c>
      <c r="DV169" s="1">
        <f>$CU169*Table1[[#This Row],[Male% (25-29)]]</f>
        <v>1270.1623642257305</v>
      </c>
      <c r="DW169" s="1">
        <f>$AF169*Table1[[#This Row],[Total%   (30-34)]]</f>
        <v>3965.8801298079757</v>
      </c>
      <c r="DX169" s="1">
        <f>$CT169*Table1[[#This Row],[Female%   (30-34)]]</f>
        <v>1734.971859480487</v>
      </c>
      <c r="DY169" s="1">
        <f>$CU169*Table1[[#This Row],[Male%  (30-34)]]</f>
        <v>2230.9082703274894</v>
      </c>
      <c r="DZ169" s="1">
        <f>$AF169*Table1[[#This Row],[Total% (35-39)]]</f>
        <v>2643.0618645402828</v>
      </c>
      <c r="EA169" s="1">
        <f>$CT169*Table1[[#This Row],[Female% (35-39)]]</f>
        <v>1361.6014943267985</v>
      </c>
      <c r="EB169" s="1">
        <f>$CU169*Table1[[#This Row],[Male% (35-39)]]</f>
        <v>1281.4603702134862</v>
      </c>
      <c r="EC169" s="1">
        <f>$AF169*Table1[[#This Row],[Total% (40-44)]]</f>
        <v>3503.641319106056</v>
      </c>
      <c r="ED169" s="1">
        <f>$CT169*Table1[[#This Row],[Female% (40-44)]]</f>
        <v>1662.1672063057758</v>
      </c>
      <c r="EE169" s="1">
        <f>$CU169*Table1[[#This Row],[Male%(55-59)]]</f>
        <v>1841.4741128002802</v>
      </c>
      <c r="EF169" s="1">
        <f>$AF169*Table1[[#This Row],[Total% (45-49)]]</f>
        <v>2404.3213151291002</v>
      </c>
      <c r="EG169" s="1">
        <f>$CT169*Table1[[#This Row],[Female% (45-49)]]</f>
        <v>1621.7794560157045</v>
      </c>
      <c r="EH169" s="1">
        <f>$CU169*Table1[[#This Row],[Male% (45-49)]]</f>
        <v>782.54185911339778</v>
      </c>
      <c r="EI169" s="1">
        <f>$AF169*Table1[[#This Row],[Total% (50-54)]]</f>
        <v>1601.1250607158713</v>
      </c>
      <c r="EJ169" s="1">
        <f>$CT169*Table1[[#This Row],[Female%(50-54)]]</f>
        <v>1122.5809168099643</v>
      </c>
      <c r="EK169" s="1">
        <f>$CU169*Table1[[#This Row],[Male% (50-54)]]</f>
        <v>478.54414390591057</v>
      </c>
      <c r="EL169" s="1">
        <f>$AF169*Table1[[#This Row],[Total% (55-59)]]</f>
        <v>2113.6428514302611</v>
      </c>
      <c r="EM169" s="1">
        <f>$CT169*Table1[[#This Row],[Female% (55-59)]]</f>
        <v>663.56442004417295</v>
      </c>
      <c r="EN169" s="1">
        <f>$CU169*Table1[[#This Row],[Male% (55-59)]]</f>
        <v>1450.0784313860872</v>
      </c>
      <c r="EO169" s="1">
        <f>$AF169*Table1[[#This Row],[Total% (60-64)]]</f>
        <v>941.83803680685401</v>
      </c>
      <c r="EP169" s="1">
        <f>$CT169*Table1[[#This Row],[Female%(60-64)]]</f>
        <v>244.14602085346471</v>
      </c>
      <c r="EQ169" s="1">
        <f>$CU169*Table1[[#This Row],[Male%(60-64)]]</f>
        <v>697.69201595338654</v>
      </c>
      <c r="ER169" s="1">
        <f>$AF169*Table1[[#This Row],[Total% (&gt;=65)]]</f>
        <v>528.47541129429715</v>
      </c>
      <c r="ES169" s="1">
        <f>$CT169*Table1[[#This Row],[Female%(&gt;=65)]]</f>
        <v>138.85147168600673</v>
      </c>
      <c r="ET169" s="1">
        <f>$CU169*Table1[[#This Row],[Male% (&gt;=65)]]</f>
        <v>389.62393960829036</v>
      </c>
    </row>
    <row r="170" spans="1:150" x14ac:dyDescent="0.35">
      <c r="A170" t="s">
        <v>192</v>
      </c>
      <c r="B170" t="s">
        <v>193</v>
      </c>
      <c r="C170" t="s">
        <v>194</v>
      </c>
      <c r="D170" t="s">
        <v>195</v>
      </c>
      <c r="E170" t="s">
        <v>194</v>
      </c>
      <c r="F170" t="s">
        <v>224</v>
      </c>
      <c r="G170" t="s">
        <v>1143</v>
      </c>
      <c r="H170">
        <v>4</v>
      </c>
      <c r="I170" s="1">
        <v>0</v>
      </c>
      <c r="J170" s="1">
        <v>24190</v>
      </c>
      <c r="K170" s="1">
        <v>54693</v>
      </c>
      <c r="L170" s="1">
        <v>26295</v>
      </c>
      <c r="M170" s="1">
        <v>0</v>
      </c>
      <c r="N170" s="1">
        <v>80988</v>
      </c>
      <c r="O170" s="3">
        <v>0</v>
      </c>
      <c r="P170" s="3">
        <v>0</v>
      </c>
      <c r="Q170" s="3">
        <v>1</v>
      </c>
      <c r="R170" s="3">
        <v>0</v>
      </c>
      <c r="S170" s="3">
        <v>0</v>
      </c>
      <c r="T170" s="1">
        <v>105178</v>
      </c>
      <c r="U170" s="1">
        <v>105171</v>
      </c>
      <c r="V170" s="10">
        <f>Table1[[#This Row],[Pop NW+RATAA]]*Table1[[#This Row],[Perc_pop_Northern_Aleppo]]</f>
        <v>0</v>
      </c>
      <c r="W170" s="10">
        <f>Table1[[#This Row],[Pop NW+RATAA]]*Table1[[#This Row],[Perc_pop_Afrin District]]</f>
        <v>0</v>
      </c>
      <c r="X170" s="10">
        <f>Table1[[#This Row],[Pop NW+RATAA]]*Table1[[#This Row],[Perc_pop_Euphrates Shiled]]</f>
        <v>0</v>
      </c>
      <c r="Y170" s="10">
        <f>Table1[[#This Row],[Pop NW+RATAA]]*Table1[[#This Row],[Perc_Pop_Idleb_NSAG]]</f>
        <v>105171</v>
      </c>
      <c r="Z170" s="3">
        <v>0</v>
      </c>
      <c r="AA170" s="3">
        <v>0</v>
      </c>
      <c r="AB170" s="3">
        <v>0</v>
      </c>
      <c r="AC170" s="3">
        <v>1</v>
      </c>
      <c r="AD170" s="1">
        <v>0</v>
      </c>
      <c r="AE170" s="1">
        <v>0</v>
      </c>
      <c r="AF170" s="1">
        <v>80988</v>
      </c>
      <c r="AG170" s="1">
        <v>0</v>
      </c>
      <c r="AH170" s="1">
        <v>0</v>
      </c>
      <c r="AI170" s="1">
        <f>Table1[[#This Row],[NWS_pin]]*Table1[[#This Row],[Perc_pop_Northern_Aleppo]]</f>
        <v>0</v>
      </c>
      <c r="AJ170" s="1">
        <f>Table1[[#This Row],[NWS_pin]]*Table1[[#This Row],[Perc_pop_Afrin District]]</f>
        <v>0</v>
      </c>
      <c r="AK170" s="1">
        <f>Table1[[#This Row],[NWS_pin]]*Table1[[#This Row],[Perc_pop_Euphrates Shiled]]</f>
        <v>0</v>
      </c>
      <c r="AL170" s="1">
        <f>Table1[[#This Row],[NWS_pin]]*Table1[[#This Row],[Perc_Pop_Idleb_NSAG]]</f>
        <v>80988</v>
      </c>
      <c r="AM170" s="4">
        <v>0.49953756990431403</v>
      </c>
      <c r="AN170" s="4">
        <v>0.50046243009568603</v>
      </c>
      <c r="AO170" s="4">
        <v>0.197904789893114</v>
      </c>
      <c r="AP170" s="4">
        <v>0.41755436722474298</v>
      </c>
      <c r="AQ170" s="4">
        <v>0.51322858655929604</v>
      </c>
      <c r="AR170" s="4">
        <v>1.4314277854218301E-2</v>
      </c>
      <c r="AS170" s="4">
        <v>1.0154203152016299E-3</v>
      </c>
      <c r="AT170" s="4">
        <v>5.3887348046540398E-2</v>
      </c>
      <c r="AU170" s="4">
        <v>7.5267030577996399E-2</v>
      </c>
      <c r="AV170" s="4">
        <v>8.2644113309703601E-2</v>
      </c>
      <c r="AW170" s="4">
        <v>6.79035807780273E-2</v>
      </c>
      <c r="AX170" s="4">
        <v>9.3383320236157294E-2</v>
      </c>
      <c r="AY170" s="4">
        <v>9.7315736345472206E-2</v>
      </c>
      <c r="AZ170" s="4">
        <v>8.9458171275976203E-2</v>
      </c>
      <c r="BA170" s="4">
        <v>8.7622805047558899E-2</v>
      </c>
      <c r="BB170" s="4">
        <v>5.9338863984399297E-2</v>
      </c>
      <c r="BC170" s="4">
        <v>0.115854477069985</v>
      </c>
      <c r="BD170" s="4">
        <v>7.9443929860137402E-2</v>
      </c>
      <c r="BE170" s="4">
        <v>5.80851963583882E-2</v>
      </c>
      <c r="BF170" s="4">
        <v>0.100763192182501</v>
      </c>
      <c r="BG170" s="4">
        <v>9.20274937978105E-2</v>
      </c>
      <c r="BH170" s="4">
        <v>9.0246936729330901E-2</v>
      </c>
      <c r="BI170" s="4">
        <v>9.3804760376830498E-2</v>
      </c>
      <c r="BJ170" s="4">
        <v>6.5142602622046603E-2</v>
      </c>
      <c r="BK170" s="4">
        <v>6.6204778725919206E-2</v>
      </c>
      <c r="BL170" s="4">
        <v>6.4082389431542902E-2</v>
      </c>
      <c r="BM170" s="4">
        <v>3.02897151678297E-2</v>
      </c>
      <c r="BN170" s="4">
        <v>2.2827861197652E-2</v>
      </c>
      <c r="BO170" s="4">
        <v>3.7737779548068499E-2</v>
      </c>
      <c r="BP170" s="4">
        <v>5.6986020364670299E-2</v>
      </c>
      <c r="BQ170" s="4">
        <v>7.5770085882335303E-2</v>
      </c>
      <c r="BR170" s="4">
        <v>3.8236668011040503E-2</v>
      </c>
      <c r="BS170" s="4">
        <v>8.5897624990078303E-2</v>
      </c>
      <c r="BT170" s="4">
        <v>9.8886643852360998E-2</v>
      </c>
      <c r="BU170" s="4">
        <v>7.2932609980529195E-2</v>
      </c>
      <c r="BV170" s="4">
        <v>5.6881413493386802E-2</v>
      </c>
      <c r="BW170" s="4">
        <v>5.49049263302753E-2</v>
      </c>
      <c r="BX170" s="4">
        <v>5.8854248086023499E-2</v>
      </c>
      <c r="BY170" s="4">
        <v>6.1331441253196402E-2</v>
      </c>
      <c r="BZ170" s="4">
        <v>7.6267445057328395E-2</v>
      </c>
      <c r="CA170" s="4">
        <v>4.6423039351836497E-2</v>
      </c>
      <c r="CB170" s="4">
        <v>5.2910327013247702E-2</v>
      </c>
      <c r="CC170" s="4">
        <v>5.8357803215888703E-2</v>
      </c>
      <c r="CD170" s="4">
        <v>4.7472917807808303E-2</v>
      </c>
      <c r="CE170" s="4">
        <v>4.7628366232620699E-2</v>
      </c>
      <c r="CF170" s="4">
        <v>4.9615396262859303E-2</v>
      </c>
      <c r="CG170" s="4">
        <v>4.5645008256193699E-2</v>
      </c>
      <c r="CH170" s="4">
        <v>2.9343713835540599E-2</v>
      </c>
      <c r="CI170" s="4">
        <v>3.68218084685039E-2</v>
      </c>
      <c r="CJ170" s="4">
        <v>2.1879438805443501E-2</v>
      </c>
      <c r="CK170" s="4">
        <v>3.0072474205252199E-2</v>
      </c>
      <c r="CL170" s="4">
        <v>2.8122432614676798E-2</v>
      </c>
      <c r="CM170" s="4">
        <v>3.2018912097067899E-2</v>
      </c>
      <c r="CN170" s="4">
        <v>2.1200307280864E-2</v>
      </c>
      <c r="CO170" s="4">
        <v>1.5471848944769599E-2</v>
      </c>
      <c r="CP170" s="4">
        <v>2.6918179361618701E-2</v>
      </c>
      <c r="CQ170" s="4">
        <v>3.4571414021606399E-2</v>
      </c>
      <c r="CR170" s="4">
        <v>2.9118122720136499E-2</v>
      </c>
      <c r="CS170" s="4">
        <v>4.0014627579506697E-2</v>
      </c>
      <c r="CT170" s="1">
        <f>Table1[[#This Row],[Female %]]*Table1[[#This Row],[NWS_pin]]</f>
        <v>40456.548711410585</v>
      </c>
      <c r="CU170" s="1">
        <f>Table1[[#This Row],[Male %]]*Table1[[#This Row],[NWS_pin]]</f>
        <v>40531.451288589422</v>
      </c>
      <c r="CV170" s="1">
        <f>Table1[[#This Row],[Female% (0-2)22]]+Table1[[#This Row],[Male%(0-2)3]]</f>
        <v>6095.72627245077</v>
      </c>
      <c r="CW170" s="1">
        <f>$CT170*Table1[[#This Row],[Female% (0-2)]]</f>
        <v>3343.4955958253595</v>
      </c>
      <c r="CX170" s="1">
        <f>$CU170*Table1[[#This Row],[Male%(0-2)]]</f>
        <v>2752.2306766254105</v>
      </c>
      <c r="CY170" s="1">
        <f>Table1[[#This Row],[Female%  (3-5)5]]+Table1[[#This Row],[Male% (3-5)6]]</f>
        <v>11507.276366585622</v>
      </c>
      <c r="CZ170" s="1">
        <f>$AF170*Table1[[#This Row],[Female%  (3-5)]]</f>
        <v>7881.4068551471028</v>
      </c>
      <c r="DA170" s="1">
        <f>$CU170*Table1[[#This Row],[Male% (3-5)]]</f>
        <v>3625.8695114385191</v>
      </c>
      <c r="DB170" s="1">
        <f>Table1[[#This Row],[Female% (6-8)8]]+Table1[[#This Row],[Male%(6-8)9]]</f>
        <v>7096.3957351917152</v>
      </c>
      <c r="DC170" s="1">
        <f>$CT170*Table1[[#This Row],[Female% (6-8)]]</f>
        <v>2400.6456412646176</v>
      </c>
      <c r="DD170" s="1">
        <f>$CU170*Table1[[#This Row],[Male%(6-8)]]</f>
        <v>4695.7500939270976</v>
      </c>
      <c r="DE170" s="1">
        <f>Table1[[#This Row],[Female% (9 - 11)11]]+Table1[[#This Row],[Male% (9 - 11)12]]</f>
        <v>6434.0049915127947</v>
      </c>
      <c r="DF170" s="1">
        <f>$CT170*Table1[[#This Row],[Female% (9 - 11)]]</f>
        <v>2349.926575884981</v>
      </c>
      <c r="DG170" s="1">
        <f>$CU170*Table1[[#This Row],[Male% (9 - 11)]]</f>
        <v>4084.0784156278137</v>
      </c>
      <c r="DH170" s="1">
        <f>Table1[[#This Row],[Female% (12-14)14]]+Table1[[#This Row],[Male%(12-14)15]]</f>
        <v>7453.1226676970728</v>
      </c>
      <c r="DI170" s="1">
        <f>$CT170*Table1[[#This Row],[Female% (12-14)]]</f>
        <v>3651.0795918457648</v>
      </c>
      <c r="DJ170" s="1">
        <f>$CU170*Table1[[#This Row],[Male%(12-14)]]</f>
        <v>3802.0430758513085</v>
      </c>
      <c r="DK170" s="1">
        <f>Table1[[#This Row],[Female% (15-17)17]]+Table1[[#This Row],[Male%(15-17)18]]</f>
        <v>5275.7691011543084</v>
      </c>
      <c r="DL170" s="1">
        <f>$CT170*Table1[[#This Row],[Female% (15-17)]]</f>
        <v>2678.4168554533094</v>
      </c>
      <c r="DM170" s="1">
        <f>$CU170*Table1[[#This Row],[Male%(15-17)]]</f>
        <v>2597.3522457009985</v>
      </c>
      <c r="DN170" s="1">
        <f>$AF170*Table1[[#This Row],[Total% (18-19)]]</f>
        <v>2453.1034520121916</v>
      </c>
      <c r="DO170" s="1">
        <f>$CT170*Table1[[#This Row],[Female% (18-19)]]</f>
        <v>923.53647852012773</v>
      </c>
      <c r="DP170" s="1">
        <f>$CU170*Table1[[#This Row],[Male%(18-19)]]</f>
        <v>1529.5669734920646</v>
      </c>
      <c r="DQ170" s="1">
        <f>$AF170*Table1[[#This Row],[Total% (20-24)]]</f>
        <v>4615.1838172939179</v>
      </c>
      <c r="DR170" s="1">
        <f>$CT170*Table1[[#This Row],[Female% (20-24)]]</f>
        <v>3065.3961703664618</v>
      </c>
      <c r="DS170" s="1">
        <f>$CU170*Table1[[#This Row],[Male% (20-24)]]</f>
        <v>1549.7876469274536</v>
      </c>
      <c r="DT170" s="1">
        <f>$AF170*Table1[[#This Row],[Total% (25-29)]]</f>
        <v>6956.6768526964615</v>
      </c>
      <c r="DU170" s="1">
        <f>$CT170*Table1[[#This Row],[Female% (25-29)]]</f>
        <v>4000.6123239209528</v>
      </c>
      <c r="DV170" s="1">
        <f>$CU170*Table1[[#This Row],[Male% (25-29)]]</f>
        <v>2956.0645287755096</v>
      </c>
      <c r="DW170" s="1">
        <f>$AF170*Table1[[#This Row],[Total%   (30-34)]]</f>
        <v>4606.7119160024104</v>
      </c>
      <c r="DX170" s="1">
        <f>$CT170*Table1[[#This Row],[Female%   (30-34)]]</f>
        <v>2221.2638265771925</v>
      </c>
      <c r="DY170" s="1">
        <f>$CU170*Table1[[#This Row],[Male%  (30-34)]]</f>
        <v>2385.4480894252188</v>
      </c>
      <c r="DZ170" s="1">
        <f>$AF170*Table1[[#This Row],[Total% (35-39)]]</f>
        <v>4967.1107642138704</v>
      </c>
      <c r="EA170" s="1">
        <f>$CT170*Table1[[#This Row],[Female% (35-39)]]</f>
        <v>3085.5176060566369</v>
      </c>
      <c r="EB170" s="1">
        <f>$CU170*Table1[[#This Row],[Male% (35-39)]]</f>
        <v>1881.5931581572308</v>
      </c>
      <c r="EC170" s="1">
        <f>$AF170*Table1[[#This Row],[Total% (40-44)]]</f>
        <v>4285.1015641489048</v>
      </c>
      <c r="ED170" s="1">
        <f>$CT170*Table1[[#This Row],[Female% (40-44)]]</f>
        <v>2360.9553084945146</v>
      </c>
      <c r="EE170" s="1">
        <f>$CU170*Table1[[#This Row],[Male%(55-59)]]</f>
        <v>1924.1462556543916</v>
      </c>
      <c r="EF170" s="1">
        <f>$AF170*Table1[[#This Row],[Total% (45-49)]]</f>
        <v>3857.3261244474852</v>
      </c>
      <c r="EG170" s="1">
        <f>$CT170*Table1[[#This Row],[Female% (45-49)]]</f>
        <v>2007.2676957443061</v>
      </c>
      <c r="EH170" s="1">
        <f>$CU170*Table1[[#This Row],[Male% (45-49)]]</f>
        <v>1850.058428703177</v>
      </c>
      <c r="EI170" s="1">
        <f>$AF170*Table1[[#This Row],[Total% (50-54)]]</f>
        <v>2376.4886961127622</v>
      </c>
      <c r="EJ170" s="1">
        <f>$CT170*Table1[[#This Row],[Female%(50-54)]]</f>
        <v>1489.6832879482588</v>
      </c>
      <c r="EK170" s="1">
        <f>$CU170*Table1[[#This Row],[Male% (50-54)]]</f>
        <v>886.80540816450639</v>
      </c>
      <c r="EL170" s="1">
        <f>$AF170*Table1[[#This Row],[Total% (55-59)]]</f>
        <v>2435.5095409349651</v>
      </c>
      <c r="EM170" s="1">
        <f>$CT170*Table1[[#This Row],[Female% (55-59)]]</f>
        <v>1137.7365649590336</v>
      </c>
      <c r="EN170" s="1">
        <f>$CU170*Table1[[#This Row],[Male% (55-59)]]</f>
        <v>1297.7729759759341</v>
      </c>
      <c r="EO170" s="1">
        <f>$AF170*Table1[[#This Row],[Total% (60-64)]]</f>
        <v>1716.9704860626136</v>
      </c>
      <c r="EP170" s="1">
        <f>$CT170*Table1[[#This Row],[Female%(60-64)]]</f>
        <v>625.9376104896578</v>
      </c>
      <c r="EQ170" s="1">
        <f>$CU170*Table1[[#This Row],[Male%(60-64)]]</f>
        <v>1091.0328755729615</v>
      </c>
      <c r="ER170" s="1">
        <f>$AF170*Table1[[#This Row],[Total% (&gt;=65)]]</f>
        <v>2799.869678781859</v>
      </c>
      <c r="ES170" s="1">
        <f>$CT170*Table1[[#This Row],[Female%(&gt;=65)]]</f>
        <v>1178.0187502120336</v>
      </c>
      <c r="ET170" s="1">
        <f>$CU170*Table1[[#This Row],[Male% (&gt;=65)]]</f>
        <v>1621.8509285698226</v>
      </c>
    </row>
    <row r="171" spans="1:150" x14ac:dyDescent="0.35">
      <c r="A171" t="s">
        <v>192</v>
      </c>
      <c r="B171" t="s">
        <v>193</v>
      </c>
      <c r="C171" t="s">
        <v>194</v>
      </c>
      <c r="D171" t="s">
        <v>195</v>
      </c>
      <c r="E171" t="s">
        <v>196</v>
      </c>
      <c r="F171" t="s">
        <v>197</v>
      </c>
      <c r="G171" t="s">
        <v>1143</v>
      </c>
      <c r="H171">
        <v>4</v>
      </c>
      <c r="I171" s="1">
        <v>0</v>
      </c>
      <c r="J171" s="1">
        <v>9730</v>
      </c>
      <c r="K171" s="1">
        <v>18337</v>
      </c>
      <c r="L171" s="1">
        <v>9356</v>
      </c>
      <c r="M171" s="1">
        <v>0</v>
      </c>
      <c r="N171" s="1">
        <v>27693</v>
      </c>
      <c r="O171" s="3">
        <v>0</v>
      </c>
      <c r="P171" s="3">
        <v>0</v>
      </c>
      <c r="Q171" s="3">
        <v>1</v>
      </c>
      <c r="R171" s="3">
        <v>0</v>
      </c>
      <c r="S171" s="3">
        <v>0</v>
      </c>
      <c r="T171" s="1">
        <v>37423</v>
      </c>
      <c r="U171" s="1">
        <v>37415</v>
      </c>
      <c r="V171" s="10">
        <f>Table1[[#This Row],[Pop NW+RATAA]]*Table1[[#This Row],[Perc_pop_Northern_Aleppo]]</f>
        <v>0</v>
      </c>
      <c r="W171" s="10">
        <f>Table1[[#This Row],[Pop NW+RATAA]]*Table1[[#This Row],[Perc_pop_Afrin District]]</f>
        <v>0</v>
      </c>
      <c r="X171" s="10">
        <f>Table1[[#This Row],[Pop NW+RATAA]]*Table1[[#This Row],[Perc_pop_Euphrates Shiled]]</f>
        <v>0</v>
      </c>
      <c r="Y171" s="10">
        <f>Table1[[#This Row],[Pop NW+RATAA]]*Table1[[#This Row],[Perc_Pop_Idleb_NSAG]]</f>
        <v>37415</v>
      </c>
      <c r="Z171" s="3">
        <v>0</v>
      </c>
      <c r="AA171" s="3">
        <v>0</v>
      </c>
      <c r="AB171" s="3">
        <v>0</v>
      </c>
      <c r="AC171" s="3">
        <v>1</v>
      </c>
      <c r="AD171" s="1">
        <v>0</v>
      </c>
      <c r="AE171" s="1">
        <v>0</v>
      </c>
      <c r="AF171" s="1">
        <v>27693</v>
      </c>
      <c r="AG171" s="1">
        <v>0</v>
      </c>
      <c r="AH171" s="1">
        <v>0</v>
      </c>
      <c r="AI171" s="1">
        <f>Table1[[#This Row],[NWS_pin]]*Table1[[#This Row],[Perc_pop_Northern_Aleppo]]</f>
        <v>0</v>
      </c>
      <c r="AJ171" s="1">
        <f>Table1[[#This Row],[NWS_pin]]*Table1[[#This Row],[Perc_pop_Afrin District]]</f>
        <v>0</v>
      </c>
      <c r="AK171" s="1">
        <f>Table1[[#This Row],[NWS_pin]]*Table1[[#This Row],[Perc_pop_Euphrates Shiled]]</f>
        <v>0</v>
      </c>
      <c r="AL171" s="1">
        <f>Table1[[#This Row],[NWS_pin]]*Table1[[#This Row],[Perc_Pop_Idleb_NSAG]]</f>
        <v>27693</v>
      </c>
      <c r="AM171" s="4">
        <v>0.519632758249712</v>
      </c>
      <c r="AN171" s="4">
        <v>0.480367241750288</v>
      </c>
      <c r="AO171" s="4">
        <v>0.10406583778371201</v>
      </c>
      <c r="AP171" s="4">
        <v>0.42247576998722502</v>
      </c>
      <c r="AQ171" s="4">
        <v>0.52465461439639705</v>
      </c>
      <c r="AR171" s="4">
        <v>0</v>
      </c>
      <c r="AS171" s="4">
        <v>0</v>
      </c>
      <c r="AT171" s="4">
        <v>5.2869615616377902E-2</v>
      </c>
      <c r="AU171" s="4">
        <v>0.101488965885529</v>
      </c>
      <c r="AV171" s="4">
        <v>0.107008143734003</v>
      </c>
      <c r="AW171" s="4">
        <v>9.5518647014025307E-2</v>
      </c>
      <c r="AX171" s="4">
        <v>0.13482564070151401</v>
      </c>
      <c r="AY171" s="4">
        <v>0.13744063558938599</v>
      </c>
      <c r="AZ171" s="4">
        <v>0.13199689450840901</v>
      </c>
      <c r="BA171" s="4">
        <v>0.12528728795417601</v>
      </c>
      <c r="BB171" s="4">
        <v>0.15184174618503701</v>
      </c>
      <c r="BC171" s="4">
        <v>9.6562251825457801E-2</v>
      </c>
      <c r="BD171" s="4">
        <v>9.1124524130130405E-2</v>
      </c>
      <c r="BE171" s="4">
        <v>8.0362114054182296E-2</v>
      </c>
      <c r="BF171" s="4">
        <v>0.10276666028579801</v>
      </c>
      <c r="BG171" s="4">
        <v>8.0382176185097298E-2</v>
      </c>
      <c r="BH171" s="4">
        <v>4.9667720709776E-2</v>
      </c>
      <c r="BI171" s="4">
        <v>0.11360725031510201</v>
      </c>
      <c r="BJ171" s="4">
        <v>3.8174437975489701E-2</v>
      </c>
      <c r="BK171" s="4">
        <v>3.78553733083722E-2</v>
      </c>
      <c r="BL171" s="4">
        <v>3.85195831865374E-2</v>
      </c>
      <c r="BM171" s="4">
        <v>3.1618811073903602E-2</v>
      </c>
      <c r="BN171" s="4">
        <v>3.3588818973161898E-2</v>
      </c>
      <c r="BO171" s="4">
        <v>2.9487773506197301E-2</v>
      </c>
      <c r="BP171" s="4">
        <v>4.0957488851953001E-2</v>
      </c>
      <c r="BQ171" s="4">
        <v>4.2238510712264601E-2</v>
      </c>
      <c r="BR171" s="4">
        <v>3.9571755469663003E-2</v>
      </c>
      <c r="BS171" s="4">
        <v>6.4858178285738102E-2</v>
      </c>
      <c r="BT171" s="4">
        <v>7.4169063044196099E-2</v>
      </c>
      <c r="BU171" s="4">
        <v>5.4786216027958301E-2</v>
      </c>
      <c r="BV171" s="4">
        <v>6.3304167447065907E-2</v>
      </c>
      <c r="BW171" s="4">
        <v>5.8615417971103999E-2</v>
      </c>
      <c r="BX171" s="4">
        <v>6.8376178215449099E-2</v>
      </c>
      <c r="BY171" s="4">
        <v>6.4090240713472899E-2</v>
      </c>
      <c r="BZ171" s="4">
        <v>6.5428165073354305E-2</v>
      </c>
      <c r="CA171" s="4">
        <v>6.2642953585979697E-2</v>
      </c>
      <c r="CB171" s="4">
        <v>6.4088241554370096E-2</v>
      </c>
      <c r="CC171" s="4">
        <v>6.2205707798266903E-2</v>
      </c>
      <c r="CD171" s="4">
        <v>6.6124654788165399E-2</v>
      </c>
      <c r="CE171" s="4">
        <v>3.4537974079254699E-2</v>
      </c>
      <c r="CF171" s="4">
        <v>2.65905014010583E-2</v>
      </c>
      <c r="CG171" s="4">
        <v>4.3135078107077299E-2</v>
      </c>
      <c r="CH171" s="4">
        <v>1.2752010773110301E-2</v>
      </c>
      <c r="CI171" s="4">
        <v>6.85147027565974E-3</v>
      </c>
      <c r="CJ171" s="4">
        <v>1.9134865113224101E-2</v>
      </c>
      <c r="CK171" s="4">
        <v>2.16303870516588E-2</v>
      </c>
      <c r="CL171" s="4">
        <v>3.27768604451543E-2</v>
      </c>
      <c r="CM171" s="4">
        <v>9.5727940044833103E-3</v>
      </c>
      <c r="CN171" s="4">
        <v>8.0962427230771503E-3</v>
      </c>
      <c r="CO171" s="4">
        <v>8.6772992313425001E-3</v>
      </c>
      <c r="CP171" s="4">
        <v>7.4676902951706804E-3</v>
      </c>
      <c r="CQ171" s="4">
        <v>2.2783224614459599E-2</v>
      </c>
      <c r="CR171" s="4">
        <v>2.4682451493680001E-2</v>
      </c>
      <c r="CS171" s="4">
        <v>2.0728753751302099E-2</v>
      </c>
      <c r="CT171" s="1">
        <f>Table1[[#This Row],[Female %]]*Table1[[#This Row],[NWS_pin]]</f>
        <v>14390.189974209274</v>
      </c>
      <c r="CU171" s="1">
        <f>Table1[[#This Row],[Male %]]*Table1[[#This Row],[NWS_pin]]</f>
        <v>13302.810025790726</v>
      </c>
      <c r="CV171" s="1">
        <f>Table1[[#This Row],[Female% (0-2)22]]+Table1[[#This Row],[Male%(0-2)3]]</f>
        <v>2810.5339322679365</v>
      </c>
      <c r="CW171" s="1">
        <f>$CT171*Table1[[#This Row],[Female% (0-2)]]</f>
        <v>1539.8675171197949</v>
      </c>
      <c r="CX171" s="1">
        <f>$CU171*Table1[[#This Row],[Male%(0-2)]]</f>
        <v>1270.6664151481414</v>
      </c>
      <c r="CY171" s="1">
        <f>Table1[[#This Row],[Female%  (3-5)5]]+Table1[[#This Row],[Male% (3-5)6]]</f>
        <v>5562.0731330165709</v>
      </c>
      <c r="CZ171" s="1">
        <f>$AF171*Table1[[#This Row],[Female%  (3-5)]]</f>
        <v>3806.1435213768664</v>
      </c>
      <c r="DA171" s="1">
        <f>$CU171*Table1[[#This Row],[Male% (3-5)]]</f>
        <v>1755.9296116397043</v>
      </c>
      <c r="DB171" s="1">
        <f>Table1[[#This Row],[Female% (6-8)8]]+Table1[[#This Row],[Male%(6-8)9]]</f>
        <v>3469.5808653149779</v>
      </c>
      <c r="DC171" s="1">
        <f>$CT171*Table1[[#This Row],[Female% (6-8)]]</f>
        <v>2185.0315736183488</v>
      </c>
      <c r="DD171" s="1">
        <f>$CU171*Table1[[#This Row],[Male%(6-8)]]</f>
        <v>1284.5492916966289</v>
      </c>
      <c r="DE171" s="1">
        <f>Table1[[#This Row],[Female% (9 - 11)11]]+Table1[[#This Row],[Male% (9 - 11)12]]</f>
        <v>2523.5114467356998</v>
      </c>
      <c r="DF171" s="1">
        <f>$CT171*Table1[[#This Row],[Female% (9 - 11)]]</f>
        <v>1156.4260879687563</v>
      </c>
      <c r="DG171" s="1">
        <f>$CU171*Table1[[#This Row],[Male% (9 - 11)]]</f>
        <v>1367.0853587669433</v>
      </c>
      <c r="DH171" s="1">
        <f>Table1[[#This Row],[Female% (12-14)14]]+Table1[[#This Row],[Male%(12-14)15]]</f>
        <v>2226.0236050939002</v>
      </c>
      <c r="DI171" s="1">
        <f>$CT171*Table1[[#This Row],[Female% (12-14)]]</f>
        <v>714.72793659964486</v>
      </c>
      <c r="DJ171" s="1">
        <f>$CU171*Table1[[#This Row],[Male%(12-14)]]</f>
        <v>1511.2956684942556</v>
      </c>
      <c r="DK171" s="1">
        <f>Table1[[#This Row],[Female% (15-17)17]]+Table1[[#This Row],[Male%(15-17)18]]</f>
        <v>1057.1647108552365</v>
      </c>
      <c r="DL171" s="1">
        <f>$CT171*Table1[[#This Row],[Female% (15-17)]]</f>
        <v>544.74601345208703</v>
      </c>
      <c r="DM171" s="1">
        <f>$CU171*Table1[[#This Row],[Male%(15-17)]]</f>
        <v>512.41869740314962</v>
      </c>
      <c r="DN171" s="1">
        <f>$AF171*Table1[[#This Row],[Total% (18-19)]]</f>
        <v>875.61973506961249</v>
      </c>
      <c r="DO171" s="1">
        <f>$CT171*Table1[[#This Row],[Female% (18-19)]]</f>
        <v>483.34948603312455</v>
      </c>
      <c r="DP171" s="1">
        <f>$CU171*Table1[[#This Row],[Male%(18-19)]]</f>
        <v>392.2702490364876</v>
      </c>
      <c r="DQ171" s="1">
        <f>$AF171*Table1[[#This Row],[Total% (20-24)]]</f>
        <v>1134.2357387771344</v>
      </c>
      <c r="DR171" s="1">
        <f>$CT171*Table1[[#This Row],[Female% (20-24)]]</f>
        <v>607.8201933771611</v>
      </c>
      <c r="DS171" s="1">
        <f>$CU171*Table1[[#This Row],[Male% (20-24)]]</f>
        <v>526.41554539997196</v>
      </c>
      <c r="DT171" s="1">
        <f>$AF171*Table1[[#This Row],[Total% (25-29)]]</f>
        <v>1796.1175312669452</v>
      </c>
      <c r="DU171" s="1">
        <f>$CT171*Table1[[#This Row],[Female% (25-29)]]</f>
        <v>1067.3069074150862</v>
      </c>
      <c r="DV171" s="1">
        <f>$CU171*Table1[[#This Row],[Male% (25-29)]]</f>
        <v>728.81062385186021</v>
      </c>
      <c r="DW171" s="1">
        <f>$AF171*Table1[[#This Row],[Total%   (30-34)]]</f>
        <v>1753.0823091115963</v>
      </c>
      <c r="DX171" s="1">
        <f>$CT171*Table1[[#This Row],[Female%   (30-34)]]</f>
        <v>843.48700002186683</v>
      </c>
      <c r="DY171" s="1">
        <f>$CU171*Table1[[#This Row],[Male%  (30-34)]]</f>
        <v>909.59530908972977</v>
      </c>
      <c r="DZ171" s="1">
        <f>$AF171*Table1[[#This Row],[Total% (35-39)]]</f>
        <v>1774.851036078205</v>
      </c>
      <c r="EA171" s="1">
        <f>$CT171*Table1[[#This Row],[Female% (35-39)]]</f>
        <v>941.52372506949246</v>
      </c>
      <c r="EB171" s="1">
        <f>$CU171*Table1[[#This Row],[Male% (35-39)]]</f>
        <v>833.32731100871388</v>
      </c>
      <c r="EC171" s="1">
        <f>$AF171*Table1[[#This Row],[Total% (40-44)]]</f>
        <v>1774.7956733651711</v>
      </c>
      <c r="ED171" s="1">
        <f>$CT171*Table1[[#This Row],[Female% (40-44)]]</f>
        <v>895.15195269721198</v>
      </c>
      <c r="EE171" s="1">
        <f>$CU171*Table1[[#This Row],[Male%(55-59)]]</f>
        <v>879.64372066795738</v>
      </c>
      <c r="EF171" s="1">
        <f>$AF171*Table1[[#This Row],[Total% (45-49)]]</f>
        <v>956.4601161768004</v>
      </c>
      <c r="EG171" s="1">
        <f>$CT171*Table1[[#This Row],[Female% (45-49)]]</f>
        <v>382.64236667070679</v>
      </c>
      <c r="EH171" s="1">
        <f>$CU171*Table1[[#This Row],[Male% (45-49)]]</f>
        <v>573.81774950609395</v>
      </c>
      <c r="EI171" s="1">
        <f>$AF171*Table1[[#This Row],[Total% (50-54)]]</f>
        <v>353.14143433974357</v>
      </c>
      <c r="EJ171" s="1">
        <f>$CT171*Table1[[#This Row],[Female%(50-54)]]</f>
        <v>98.593958869391642</v>
      </c>
      <c r="EK171" s="1">
        <f>$CU171*Table1[[#This Row],[Male% (50-54)]]</f>
        <v>254.54747547035078</v>
      </c>
      <c r="EL171" s="1">
        <f>$AF171*Table1[[#This Row],[Total% (55-59)]]</f>
        <v>599.01030862158711</v>
      </c>
      <c r="EM171" s="1">
        <f>$CT171*Table1[[#This Row],[Female% (55-59)]]</f>
        <v>471.6652485639159</v>
      </c>
      <c r="EN171" s="1">
        <f>$CU171*Table1[[#This Row],[Male% (55-59)]]</f>
        <v>127.34506005766994</v>
      </c>
      <c r="EO171" s="1">
        <f>$AF171*Table1[[#This Row],[Total% (60-64)]]</f>
        <v>224.20924973017551</v>
      </c>
      <c r="EP171" s="1">
        <f>$CT171*Table1[[#This Row],[Female%(60-64)]]</f>
        <v>124.86798440207868</v>
      </c>
      <c r="EQ171" s="1">
        <f>$CU171*Table1[[#This Row],[Male%(60-64)]]</f>
        <v>99.34126532809664</v>
      </c>
      <c r="ER171" s="1">
        <f>$AF171*Table1[[#This Row],[Total% (&gt;=65)]]</f>
        <v>630.93583924822963</v>
      </c>
      <c r="ES171" s="1">
        <f>$CT171*Table1[[#This Row],[Female%(&gt;=65)]]</f>
        <v>355.18516602326065</v>
      </c>
      <c r="ET171" s="1">
        <f>$CU171*Table1[[#This Row],[Male% (&gt;=65)]]</f>
        <v>275.75067322496869</v>
      </c>
    </row>
    <row r="172" spans="1:150" x14ac:dyDescent="0.35">
      <c r="A172" t="s">
        <v>192</v>
      </c>
      <c r="B172" t="s">
        <v>193</v>
      </c>
      <c r="C172" t="s">
        <v>194</v>
      </c>
      <c r="D172" t="s">
        <v>195</v>
      </c>
      <c r="E172" t="s">
        <v>305</v>
      </c>
      <c r="F172" t="s">
        <v>306</v>
      </c>
      <c r="G172" t="s">
        <v>1143</v>
      </c>
      <c r="H172">
        <v>4</v>
      </c>
      <c r="I172" s="1">
        <v>0</v>
      </c>
      <c r="J172" s="1">
        <v>4798</v>
      </c>
      <c r="K172" s="1">
        <v>27912</v>
      </c>
      <c r="L172" s="1">
        <v>10903</v>
      </c>
      <c r="M172" s="1">
        <v>0</v>
      </c>
      <c r="N172" s="1">
        <v>38815</v>
      </c>
      <c r="O172" s="3">
        <v>0</v>
      </c>
      <c r="P172" s="3">
        <v>0</v>
      </c>
      <c r="Q172" s="3">
        <v>1</v>
      </c>
      <c r="R172" s="3">
        <v>0</v>
      </c>
      <c r="S172" s="3">
        <v>0</v>
      </c>
      <c r="T172" s="1">
        <v>43613</v>
      </c>
      <c r="U172" s="1">
        <v>43605.5</v>
      </c>
      <c r="V172" s="10">
        <f>Table1[[#This Row],[Pop NW+RATAA]]*Table1[[#This Row],[Perc_pop_Northern_Aleppo]]</f>
        <v>0</v>
      </c>
      <c r="W172" s="10">
        <f>Table1[[#This Row],[Pop NW+RATAA]]*Table1[[#This Row],[Perc_pop_Afrin District]]</f>
        <v>0</v>
      </c>
      <c r="X172" s="10">
        <f>Table1[[#This Row],[Pop NW+RATAA]]*Table1[[#This Row],[Perc_pop_Euphrates Shiled]]</f>
        <v>0</v>
      </c>
      <c r="Y172" s="10">
        <f>Table1[[#This Row],[Pop NW+RATAA]]*Table1[[#This Row],[Perc_Pop_Idleb_NSAG]]</f>
        <v>43605.5</v>
      </c>
      <c r="Z172" s="3">
        <v>0</v>
      </c>
      <c r="AA172" s="3">
        <v>0</v>
      </c>
      <c r="AB172" s="3">
        <v>0</v>
      </c>
      <c r="AC172" s="3">
        <v>1</v>
      </c>
      <c r="AD172" s="1">
        <v>0</v>
      </c>
      <c r="AE172" s="1">
        <v>0</v>
      </c>
      <c r="AF172" s="1">
        <v>38815</v>
      </c>
      <c r="AG172" s="1">
        <v>0</v>
      </c>
      <c r="AH172" s="1">
        <v>0</v>
      </c>
      <c r="AI172" s="1">
        <f>Table1[[#This Row],[NWS_pin]]*Table1[[#This Row],[Perc_pop_Northern_Aleppo]]</f>
        <v>0</v>
      </c>
      <c r="AJ172" s="1">
        <f>Table1[[#This Row],[NWS_pin]]*Table1[[#This Row],[Perc_pop_Afrin District]]</f>
        <v>0</v>
      </c>
      <c r="AK172" s="1">
        <f>Table1[[#This Row],[NWS_pin]]*Table1[[#This Row],[Perc_pop_Euphrates Shiled]]</f>
        <v>0</v>
      </c>
      <c r="AL172" s="1">
        <f>Table1[[#This Row],[NWS_pin]]*Table1[[#This Row],[Perc_Pop_Idleb_NSAG]]</f>
        <v>38815</v>
      </c>
      <c r="AM172" s="4">
        <v>0.51366693119417495</v>
      </c>
      <c r="AN172" s="4">
        <v>0.486333068805825</v>
      </c>
      <c r="AO172" s="4">
        <v>0.209894890616969</v>
      </c>
      <c r="AP172" s="4">
        <v>0.49232931265482199</v>
      </c>
      <c r="AQ172" s="4">
        <v>0.47842419378136702</v>
      </c>
      <c r="AR172" s="4">
        <v>4.2030558187797296E-3</v>
      </c>
      <c r="AS172" s="4">
        <v>0</v>
      </c>
      <c r="AT172" s="4">
        <v>2.50434377450321E-2</v>
      </c>
      <c r="AU172" s="4">
        <v>5.6592879229933897E-2</v>
      </c>
      <c r="AV172" s="4">
        <v>7.6539280448480504E-2</v>
      </c>
      <c r="AW172" s="4">
        <v>3.5525410535162998E-2</v>
      </c>
      <c r="AX172" s="4">
        <v>9.8596214820482406E-2</v>
      </c>
      <c r="AY172" s="4">
        <v>8.8043408462018594E-2</v>
      </c>
      <c r="AZ172" s="4">
        <v>0.109742131076905</v>
      </c>
      <c r="BA172" s="4">
        <v>9.22168871170361E-2</v>
      </c>
      <c r="BB172" s="4">
        <v>7.9291289473827797E-2</v>
      </c>
      <c r="BC172" s="4">
        <v>0.105868955012687</v>
      </c>
      <c r="BD172" s="4">
        <v>8.7511391175388198E-2</v>
      </c>
      <c r="BE172" s="4">
        <v>7.9450043082770594E-2</v>
      </c>
      <c r="BF172" s="4">
        <v>9.6025819252818001E-2</v>
      </c>
      <c r="BG172" s="4">
        <v>0.10043912213086301</v>
      </c>
      <c r="BH172" s="4">
        <v>0.11558102142050999</v>
      </c>
      <c r="BI172" s="4">
        <v>8.4446187577465706E-2</v>
      </c>
      <c r="BJ172" s="4">
        <v>8.7173617358696096E-2</v>
      </c>
      <c r="BK172" s="4">
        <v>8.4953116796068803E-2</v>
      </c>
      <c r="BL172" s="4">
        <v>8.9518918928503693E-2</v>
      </c>
      <c r="BM172" s="4">
        <v>2.8828162542775499E-2</v>
      </c>
      <c r="BN172" s="4">
        <v>2.19648681306275E-2</v>
      </c>
      <c r="BO172" s="4">
        <v>3.6077201534154099E-2</v>
      </c>
      <c r="BP172" s="4">
        <v>4.24173739597569E-2</v>
      </c>
      <c r="BQ172" s="4">
        <v>3.96821066530458E-2</v>
      </c>
      <c r="BR172" s="4">
        <v>4.5306374222239598E-2</v>
      </c>
      <c r="BS172" s="4">
        <v>5.6222066423353097E-2</v>
      </c>
      <c r="BT172" s="4">
        <v>6.25261528995565E-2</v>
      </c>
      <c r="BU172" s="4">
        <v>4.9563665089128801E-2</v>
      </c>
      <c r="BV172" s="4">
        <v>6.7416247508062493E-2</v>
      </c>
      <c r="BW172" s="4">
        <v>7.5294224054749698E-2</v>
      </c>
      <c r="BX172" s="4">
        <v>5.9095497190398603E-2</v>
      </c>
      <c r="BY172" s="4">
        <v>4.9646013902461997E-2</v>
      </c>
      <c r="BZ172" s="4">
        <v>4.0490039758702898E-2</v>
      </c>
      <c r="CA172" s="4">
        <v>5.93165903904362E-2</v>
      </c>
      <c r="CB172" s="4">
        <v>6.9411144951372794E-2</v>
      </c>
      <c r="CC172" s="4">
        <v>0.10027656494544</v>
      </c>
      <c r="CD172" s="4">
        <v>3.6810964981496899E-2</v>
      </c>
      <c r="CE172" s="4">
        <v>5.4596418767526002E-2</v>
      </c>
      <c r="CF172" s="4">
        <v>4.6925699113959697E-2</v>
      </c>
      <c r="CG172" s="4">
        <v>6.2698263526249298E-2</v>
      </c>
      <c r="CH172" s="4">
        <v>4.3243240912553098E-2</v>
      </c>
      <c r="CI172" s="4">
        <v>4.0904289096512503E-2</v>
      </c>
      <c r="CJ172" s="4">
        <v>4.5713651169677197E-2</v>
      </c>
      <c r="CK172" s="4">
        <v>2.98757626185766E-2</v>
      </c>
      <c r="CL172" s="4">
        <v>2.23782780574182E-2</v>
      </c>
      <c r="CM172" s="4">
        <v>3.7794635780260599E-2</v>
      </c>
      <c r="CN172" s="4">
        <v>1.65936036084398E-2</v>
      </c>
      <c r="CO172" s="4">
        <v>7.1722425243103899E-3</v>
      </c>
      <c r="CP172" s="4">
        <v>2.6544482843611002E-2</v>
      </c>
      <c r="CQ172" s="4">
        <v>1.92198529727222E-2</v>
      </c>
      <c r="CR172" s="4">
        <v>1.8527375081999999E-2</v>
      </c>
      <c r="CS172" s="4">
        <v>1.9951250888805699E-2</v>
      </c>
      <c r="CT172" s="1">
        <f>Table1[[#This Row],[Female %]]*Table1[[#This Row],[NWS_pin]]</f>
        <v>19937.981934301901</v>
      </c>
      <c r="CU172" s="1">
        <f>Table1[[#This Row],[Male %]]*Table1[[#This Row],[NWS_pin]]</f>
        <v>18877.018065698096</v>
      </c>
      <c r="CV172" s="1">
        <f>Table1[[#This Row],[Female% (0-2)22]]+Table1[[#This Row],[Male%(0-2)3]]</f>
        <v>2196.6526073098844</v>
      </c>
      <c r="CW172" s="1">
        <f>$CT172*Table1[[#This Row],[Female% (0-2)]]</f>
        <v>1526.038790846271</v>
      </c>
      <c r="CX172" s="1">
        <f>$CU172*Table1[[#This Row],[Male%(0-2)]]</f>
        <v>670.61381646361338</v>
      </c>
      <c r="CY172" s="1">
        <f>Table1[[#This Row],[Female%  (3-5)5]]+Table1[[#This Row],[Male% (3-5)6]]</f>
        <v>5489.0090903601958</v>
      </c>
      <c r="CZ172" s="1">
        <f>$AF172*Table1[[#This Row],[Female%  (3-5)]]</f>
        <v>3417.4048994532518</v>
      </c>
      <c r="DA172" s="1">
        <f>$CU172*Table1[[#This Row],[Male% (3-5)]]</f>
        <v>2071.604190906944</v>
      </c>
      <c r="DB172" s="1">
        <f>Table1[[#This Row],[Female% (6-8)8]]+Table1[[#This Row],[Male%(6-8)9]]</f>
        <v>3579.3984734477526</v>
      </c>
      <c r="DC172" s="1">
        <f>$CT172*Table1[[#This Row],[Female% (6-8)]]</f>
        <v>1580.908297076681</v>
      </c>
      <c r="DD172" s="1">
        <f>$CU172*Table1[[#This Row],[Male%(6-8)]]</f>
        <v>1998.4901763710716</v>
      </c>
      <c r="DE172" s="1">
        <f>Table1[[#This Row],[Female% (9 - 11)11]]+Table1[[#This Row],[Male% (9 - 11)12]]</f>
        <v>3396.7546484726936</v>
      </c>
      <c r="DF172" s="1">
        <f>$CT172*Table1[[#This Row],[Female% (9 - 11)]]</f>
        <v>1584.0735236637879</v>
      </c>
      <c r="DG172" s="1">
        <f>$CU172*Table1[[#This Row],[Male% (9 - 11)]]</f>
        <v>1812.6811248089055</v>
      </c>
      <c r="DH172" s="1">
        <f>Table1[[#This Row],[Female% (12-14)14]]+Table1[[#This Row],[Male%(12-14)15]]</f>
        <v>3898.5445255094392</v>
      </c>
      <c r="DI172" s="1">
        <f>$CT172*Table1[[#This Row],[Female% (12-14)]]</f>
        <v>2304.4523170302891</v>
      </c>
      <c r="DJ172" s="1">
        <f>$CU172*Table1[[#This Row],[Male%(12-14)]]</f>
        <v>1594.0922084791503</v>
      </c>
      <c r="DK172" s="1">
        <f>Table1[[#This Row],[Female% (15-17)17]]+Table1[[#This Row],[Male%(15-17)18]]</f>
        <v>3383.6439577777865</v>
      </c>
      <c r="DL172" s="1">
        <f>$CT172*Table1[[#This Row],[Female% (15-17)]]</f>
        <v>1693.7937079426592</v>
      </c>
      <c r="DM172" s="1">
        <f>$CU172*Table1[[#This Row],[Male%(15-17)]]</f>
        <v>1689.8502498351274</v>
      </c>
      <c r="DN172" s="1">
        <f>$AF172*Table1[[#This Row],[Total% (18-19)]]</f>
        <v>1118.9651290978311</v>
      </c>
      <c r="DO172" s="1">
        <f>$CT172*Table1[[#This Row],[Female% (18-19)]]</f>
        <v>437.93514397777466</v>
      </c>
      <c r="DP172" s="1">
        <f>$CU172*Table1[[#This Row],[Male%(18-19)]]</f>
        <v>681.02998512005797</v>
      </c>
      <c r="DQ172" s="1">
        <f>$AF172*Table1[[#This Row],[Total% (20-24)]]</f>
        <v>1646.430370247964</v>
      </c>
      <c r="DR172" s="1">
        <f>$CT172*Table1[[#This Row],[Female% (20-24)]]</f>
        <v>791.18112556346841</v>
      </c>
      <c r="DS172" s="1">
        <f>$CU172*Table1[[#This Row],[Male% (20-24)]]</f>
        <v>855.24924468449535</v>
      </c>
      <c r="DT172" s="1">
        <f>$AF172*Table1[[#This Row],[Total% (25-29)]]</f>
        <v>2182.2595082224507</v>
      </c>
      <c r="DU172" s="1">
        <f>$CT172*Table1[[#This Row],[Female% (25-29)]]</f>
        <v>1246.6453069327558</v>
      </c>
      <c r="DV172" s="1">
        <f>$CU172*Table1[[#This Row],[Male% (25-29)]]</f>
        <v>935.61420128969439</v>
      </c>
      <c r="DW172" s="1">
        <f>$AF172*Table1[[#This Row],[Total%   (30-34)]]</f>
        <v>2616.7616470254457</v>
      </c>
      <c r="DX172" s="1">
        <f>$CT172*Table1[[#This Row],[Female%   (30-34)]]</f>
        <v>1501.2148789608791</v>
      </c>
      <c r="DY172" s="1">
        <f>$CU172*Table1[[#This Row],[Male%  (30-34)]]</f>
        <v>1115.5467680645654</v>
      </c>
      <c r="DZ172" s="1">
        <f>$AF172*Table1[[#This Row],[Total% (35-39)]]</f>
        <v>1927.0100296240623</v>
      </c>
      <c r="EA172" s="1">
        <f>$CT172*Table1[[#This Row],[Female% (35-39)]]</f>
        <v>807.28968122818412</v>
      </c>
      <c r="EB172" s="1">
        <f>$CU172*Table1[[#This Row],[Male% (35-39)]]</f>
        <v>1119.7203483958781</v>
      </c>
      <c r="EC172" s="1">
        <f>$AF172*Table1[[#This Row],[Total% (40-44)]]</f>
        <v>2694.1935912875351</v>
      </c>
      <c r="ED172" s="1">
        <f>$CT172*Table1[[#This Row],[Female% (40-44)]]</f>
        <v>1999.3123403160341</v>
      </c>
      <c r="EE172" s="1">
        <f>$CU172*Table1[[#This Row],[Male%(55-59)]]</f>
        <v>694.88125097149691</v>
      </c>
      <c r="EF172" s="1">
        <f>$AF172*Table1[[#This Row],[Total% (45-49)]]</f>
        <v>2119.1599944615218</v>
      </c>
      <c r="EG172" s="1">
        <f>$CT172*Table1[[#This Row],[Female% (45-49)]]</f>
        <v>935.60374118861512</v>
      </c>
      <c r="EH172" s="1">
        <f>$CU172*Table1[[#This Row],[Male% (45-49)]]</f>
        <v>1183.556253272908</v>
      </c>
      <c r="EI172" s="1">
        <f>$AF172*Table1[[#This Row],[Total% (50-54)]]</f>
        <v>1678.4863960207485</v>
      </c>
      <c r="EJ172" s="1">
        <f>$CT172*Table1[[#This Row],[Female%(50-54)]]</f>
        <v>815.54897704172845</v>
      </c>
      <c r="EK172" s="1">
        <f>$CU172*Table1[[#This Row],[Male% (50-54)]]</f>
        <v>862.93741897901737</v>
      </c>
      <c r="EL172" s="1">
        <f>$AF172*Table1[[#This Row],[Total% (55-59)]]</f>
        <v>1159.6277260400507</v>
      </c>
      <c r="EM172" s="1">
        <f>$CT172*Table1[[#This Row],[Female% (55-59)]]</f>
        <v>446.17770362958873</v>
      </c>
      <c r="EN172" s="1">
        <f>$CU172*Table1[[#This Row],[Male% (55-59)]]</f>
        <v>713.45002241045893</v>
      </c>
      <c r="EO172" s="1">
        <f>$AF172*Table1[[#This Row],[Total% (60-64)]]</f>
        <v>644.0807240615909</v>
      </c>
      <c r="EP172" s="1">
        <f>$CT172*Table1[[#This Row],[Female%(60-64)]]</f>
        <v>143.00004187813241</v>
      </c>
      <c r="EQ172" s="1">
        <f>$CU172*Table1[[#This Row],[Male%(60-64)]]</f>
        <v>501.08068218345801</v>
      </c>
      <c r="ER172" s="1">
        <f>$AF172*Table1[[#This Row],[Total% (&gt;=65)]]</f>
        <v>746.01859313621219</v>
      </c>
      <c r="ES172" s="1">
        <f>$CT172*Table1[[#This Row],[Female%(&gt;=65)]]</f>
        <v>369.39846967495117</v>
      </c>
      <c r="ET172" s="1">
        <f>$CU172*Table1[[#This Row],[Male% (&gt;=65)]]</f>
        <v>376.62012346126039</v>
      </c>
    </row>
    <row r="173" spans="1:150" hidden="1" x14ac:dyDescent="0.35">
      <c r="A173" t="s">
        <v>184</v>
      </c>
      <c r="B173" t="s">
        <v>185</v>
      </c>
      <c r="C173" t="s">
        <v>184</v>
      </c>
      <c r="D173" t="s">
        <v>186</v>
      </c>
      <c r="E173" t="s">
        <v>184</v>
      </c>
      <c r="F173" t="s">
        <v>323</v>
      </c>
      <c r="H173">
        <v>4</v>
      </c>
      <c r="I173" s="1">
        <v>0</v>
      </c>
      <c r="J173" s="1">
        <v>0</v>
      </c>
      <c r="K173" s="1">
        <v>19237</v>
      </c>
      <c r="L173" s="1">
        <v>272725</v>
      </c>
      <c r="M173" s="1">
        <v>0</v>
      </c>
      <c r="N173" s="1">
        <v>291962</v>
      </c>
      <c r="O173" s="3">
        <v>0</v>
      </c>
      <c r="P173" s="3">
        <v>1</v>
      </c>
      <c r="Q173" s="3">
        <v>0</v>
      </c>
      <c r="R173" s="3">
        <v>0</v>
      </c>
      <c r="S173" s="3">
        <v>0</v>
      </c>
      <c r="T173" s="1">
        <v>291962</v>
      </c>
      <c r="U173" s="1">
        <v>0</v>
      </c>
      <c r="V173" s="10">
        <f>Table1[[#This Row],[Pop NW+RATAA]]*Table1[[#This Row],[Perc_pop_Northern_Aleppo]]</f>
        <v>0</v>
      </c>
      <c r="W173" s="10">
        <f>Table1[[#This Row],[Pop NW+RATAA]]*Table1[[#This Row],[Perc_pop_Afrin District]]</f>
        <v>0</v>
      </c>
      <c r="X173" s="10">
        <f>Table1[[#This Row],[Pop NW+RATAA]]*Table1[[#This Row],[Perc_pop_Euphrates Shiled]]</f>
        <v>0</v>
      </c>
      <c r="Y173" s="10">
        <f>Table1[[#This Row],[Pop NW+RATAA]]*Table1[[#This Row],[Perc_Pop_Idleb_NSAG]]</f>
        <v>0</v>
      </c>
      <c r="Z173" s="3">
        <v>0</v>
      </c>
      <c r="AA173" s="3">
        <v>0</v>
      </c>
      <c r="AB173" s="3">
        <v>0</v>
      </c>
      <c r="AC173" s="3">
        <v>0</v>
      </c>
      <c r="AD173" s="1">
        <v>0</v>
      </c>
      <c r="AE173" s="1">
        <v>291962</v>
      </c>
      <c r="AF173" s="1">
        <v>0</v>
      </c>
      <c r="AG173" s="1">
        <v>0</v>
      </c>
      <c r="AH173" s="1">
        <v>0</v>
      </c>
      <c r="AI173" s="1">
        <f>Table1[[#This Row],[NWS_pin]]*Table1[[#This Row],[Perc_pop_Northern_Aleppo]]</f>
        <v>0</v>
      </c>
      <c r="AJ173" s="1">
        <f>Table1[[#This Row],[NWS_pin]]*Table1[[#This Row],[Perc_pop_Afrin District]]</f>
        <v>0</v>
      </c>
      <c r="AK173" s="1">
        <f>Table1[[#This Row],[NWS_pin]]*Table1[[#This Row],[Perc_pop_Euphrates Shiled]]</f>
        <v>0</v>
      </c>
      <c r="AL173" s="1">
        <f>Table1[[#This Row],[NWS_pin]]*Table1[[#This Row],[Perc_Pop_Idleb_NSAG]]</f>
        <v>0</v>
      </c>
      <c r="AM173" s="4">
        <v>0.56833400963401104</v>
      </c>
      <c r="AN173" s="4">
        <v>0.43166599036598902</v>
      </c>
      <c r="AO173" s="4">
        <v>0.143177603011298</v>
      </c>
      <c r="AP173" s="4">
        <v>0.34265963965339902</v>
      </c>
      <c r="AQ173" s="4">
        <v>0.56389239414394698</v>
      </c>
      <c r="AR173" s="4">
        <v>2.1667462164096301E-2</v>
      </c>
      <c r="AS173" s="4">
        <v>0</v>
      </c>
      <c r="AT173" s="4">
        <v>7.1780504038558304E-2</v>
      </c>
      <c r="AU173" s="4">
        <v>7.0893385724566604E-2</v>
      </c>
      <c r="AV173" s="4">
        <v>8.6872159426995693E-2</v>
      </c>
      <c r="AW173" s="4">
        <v>4.9855637256969197E-2</v>
      </c>
      <c r="AX173" s="4">
        <v>7.8651971299849299E-2</v>
      </c>
      <c r="AY173" s="4">
        <v>6.2282149909413401E-2</v>
      </c>
      <c r="AZ173" s="4">
        <v>0.10020457547867501</v>
      </c>
      <c r="BA173" s="4">
        <v>9.0690951977745501E-2</v>
      </c>
      <c r="BB173" s="4">
        <v>6.7223371476561503E-2</v>
      </c>
      <c r="BC173" s="4">
        <v>0.121588508005587</v>
      </c>
      <c r="BD173" s="4">
        <v>7.70295543233014E-2</v>
      </c>
      <c r="BE173" s="4">
        <v>0.10268150608207401</v>
      </c>
      <c r="BF173" s="4">
        <v>4.3256042109284E-2</v>
      </c>
      <c r="BG173" s="4">
        <v>5.5575591315183602E-2</v>
      </c>
      <c r="BH173" s="4">
        <v>4.5813615532722E-2</v>
      </c>
      <c r="BI173" s="4">
        <v>6.8428266675808105E-2</v>
      </c>
      <c r="BJ173" s="4">
        <v>5.41554479733675E-2</v>
      </c>
      <c r="BK173" s="4">
        <v>5.1786427999842302E-2</v>
      </c>
      <c r="BL173" s="4">
        <v>5.7274513756880203E-2</v>
      </c>
      <c r="BM173" s="4">
        <v>1.92096730250805E-2</v>
      </c>
      <c r="BN173" s="4">
        <v>3.1883367168077499E-2</v>
      </c>
      <c r="BO173" s="4">
        <v>2.5234119576806801E-3</v>
      </c>
      <c r="BP173" s="4">
        <v>4.7980406194975497E-2</v>
      </c>
      <c r="BQ173" s="4">
        <v>5.11653657122852E-2</v>
      </c>
      <c r="BR173" s="4">
        <v>4.3787069556478903E-2</v>
      </c>
      <c r="BS173" s="4">
        <v>9.0087713043276896E-2</v>
      </c>
      <c r="BT173" s="4">
        <v>0.100667091775014</v>
      </c>
      <c r="BU173" s="4">
        <v>7.6158840099296798E-2</v>
      </c>
      <c r="BV173" s="4">
        <v>6.2790030669686095E-2</v>
      </c>
      <c r="BW173" s="4">
        <v>5.2821187409239002E-2</v>
      </c>
      <c r="BX173" s="4">
        <v>7.5915068981875597E-2</v>
      </c>
      <c r="BY173" s="4">
        <v>0.100352346422118</v>
      </c>
      <c r="BZ173" s="4">
        <v>9.6053707612361205E-2</v>
      </c>
      <c r="CA173" s="4">
        <v>0.106011959839071</v>
      </c>
      <c r="CB173" s="4">
        <v>7.5059157795925202E-2</v>
      </c>
      <c r="CC173" s="4">
        <v>7.3456105037464997E-2</v>
      </c>
      <c r="CD173" s="4">
        <v>7.7169746589585003E-2</v>
      </c>
      <c r="CE173" s="4">
        <v>3.8862590336836103E-2</v>
      </c>
      <c r="CF173" s="4">
        <v>4.2692289346214198E-2</v>
      </c>
      <c r="CG173" s="4">
        <v>3.3820385849413097E-2</v>
      </c>
      <c r="CH173" s="4">
        <v>2.58381960855961E-2</v>
      </c>
      <c r="CI173" s="4">
        <v>3.1940744740920103E-2</v>
      </c>
      <c r="CJ173" s="4">
        <v>1.7803544239787299E-2</v>
      </c>
      <c r="CK173" s="4">
        <v>6.0511976217913203E-2</v>
      </c>
      <c r="CL173" s="4">
        <v>5.24641101732055E-2</v>
      </c>
      <c r="CM173" s="4">
        <v>7.1107844505586701E-2</v>
      </c>
      <c r="CN173" s="4">
        <v>1.6674949890103E-2</v>
      </c>
      <c r="CO173" s="4">
        <v>2.88844074379381E-2</v>
      </c>
      <c r="CP173" s="4">
        <v>5.9990548427880399E-4</v>
      </c>
      <c r="CQ173" s="4">
        <v>3.5636057704475303E-2</v>
      </c>
      <c r="CR173" s="4">
        <v>2.13123931596703E-2</v>
      </c>
      <c r="CS173" s="4">
        <v>5.4494679613742499E-2</v>
      </c>
      <c r="CT173" s="1">
        <f>Table1[[#This Row],[Female %]]*Table1[[#This Row],[NWS_pin]]</f>
        <v>0</v>
      </c>
      <c r="CU173" s="1">
        <f>Table1[[#This Row],[Male %]]*Table1[[#This Row],[NWS_pin]]</f>
        <v>0</v>
      </c>
      <c r="CV173" s="1">
        <f>Table1[[#This Row],[Female% (0-2)22]]+Table1[[#This Row],[Male%(0-2)3]]</f>
        <v>0</v>
      </c>
      <c r="CW173" s="1">
        <f>$CT173*Table1[[#This Row],[Female% (0-2)]]</f>
        <v>0</v>
      </c>
      <c r="CX173" s="1">
        <f>$CU173*Table1[[#This Row],[Male%(0-2)]]</f>
        <v>0</v>
      </c>
      <c r="CY173" s="1">
        <f>Table1[[#This Row],[Female%  (3-5)5]]+Table1[[#This Row],[Male% (3-5)6]]</f>
        <v>0</v>
      </c>
      <c r="CZ173" s="1">
        <f>$AF173*Table1[[#This Row],[Female%  (3-5)]]</f>
        <v>0</v>
      </c>
      <c r="DA173" s="1">
        <f>$CU173*Table1[[#This Row],[Male% (3-5)]]</f>
        <v>0</v>
      </c>
      <c r="DB173" s="1">
        <f>Table1[[#This Row],[Female% (6-8)8]]+Table1[[#This Row],[Male%(6-8)9]]</f>
        <v>0</v>
      </c>
      <c r="DC173" s="1">
        <f>$CT173*Table1[[#This Row],[Female% (6-8)]]</f>
        <v>0</v>
      </c>
      <c r="DD173" s="1">
        <f>$CU173*Table1[[#This Row],[Male%(6-8)]]</f>
        <v>0</v>
      </c>
      <c r="DE173" s="1">
        <f>Table1[[#This Row],[Female% (9 - 11)11]]+Table1[[#This Row],[Male% (9 - 11)12]]</f>
        <v>0</v>
      </c>
      <c r="DF173" s="1">
        <f>$CT173*Table1[[#This Row],[Female% (9 - 11)]]</f>
        <v>0</v>
      </c>
      <c r="DG173" s="1">
        <f>$CU173*Table1[[#This Row],[Male% (9 - 11)]]</f>
        <v>0</v>
      </c>
      <c r="DH173" s="1">
        <f>Table1[[#This Row],[Female% (12-14)14]]+Table1[[#This Row],[Male%(12-14)15]]</f>
        <v>0</v>
      </c>
      <c r="DI173" s="1">
        <f>$CT173*Table1[[#This Row],[Female% (12-14)]]</f>
        <v>0</v>
      </c>
      <c r="DJ173" s="1">
        <f>$CU173*Table1[[#This Row],[Male%(12-14)]]</f>
        <v>0</v>
      </c>
      <c r="DK173" s="1">
        <f>Table1[[#This Row],[Female% (15-17)17]]+Table1[[#This Row],[Male%(15-17)18]]</f>
        <v>0</v>
      </c>
      <c r="DL173" s="1">
        <f>$CT173*Table1[[#This Row],[Female% (15-17)]]</f>
        <v>0</v>
      </c>
      <c r="DM173" s="1">
        <f>$CU173*Table1[[#This Row],[Male%(15-17)]]</f>
        <v>0</v>
      </c>
      <c r="DN173" s="1">
        <f>$AF173*Table1[[#This Row],[Total% (18-19)]]</f>
        <v>0</v>
      </c>
      <c r="DO173" s="1">
        <f>$CT173*Table1[[#This Row],[Female% (18-19)]]</f>
        <v>0</v>
      </c>
      <c r="DP173" s="1">
        <f>$CU173*Table1[[#This Row],[Male%(18-19)]]</f>
        <v>0</v>
      </c>
      <c r="DQ173" s="1">
        <f>$AF173*Table1[[#This Row],[Total% (20-24)]]</f>
        <v>0</v>
      </c>
      <c r="DR173" s="1">
        <f>$CT173*Table1[[#This Row],[Female% (20-24)]]</f>
        <v>0</v>
      </c>
      <c r="DS173" s="1">
        <f>$CU173*Table1[[#This Row],[Male% (20-24)]]</f>
        <v>0</v>
      </c>
      <c r="DT173" s="1">
        <f>$AF173*Table1[[#This Row],[Total% (25-29)]]</f>
        <v>0</v>
      </c>
      <c r="DU173" s="1">
        <f>$CT173*Table1[[#This Row],[Female% (25-29)]]</f>
        <v>0</v>
      </c>
      <c r="DV173" s="1">
        <f>$CU173*Table1[[#This Row],[Male% (25-29)]]</f>
        <v>0</v>
      </c>
      <c r="DW173" s="1">
        <f>$AF173*Table1[[#This Row],[Total%   (30-34)]]</f>
        <v>0</v>
      </c>
      <c r="DX173" s="1">
        <f>$CT173*Table1[[#This Row],[Female%   (30-34)]]</f>
        <v>0</v>
      </c>
      <c r="DY173" s="1">
        <f>$CU173*Table1[[#This Row],[Male%  (30-34)]]</f>
        <v>0</v>
      </c>
      <c r="DZ173" s="1">
        <f>$AF173*Table1[[#This Row],[Total% (35-39)]]</f>
        <v>0</v>
      </c>
      <c r="EA173" s="1">
        <f>$CT173*Table1[[#This Row],[Female% (35-39)]]</f>
        <v>0</v>
      </c>
      <c r="EB173" s="1">
        <f>$CU173*Table1[[#This Row],[Male% (35-39)]]</f>
        <v>0</v>
      </c>
      <c r="EC173" s="1">
        <f>$AF173*Table1[[#This Row],[Total% (40-44)]]</f>
        <v>0</v>
      </c>
      <c r="ED173" s="1">
        <f>$CT173*Table1[[#This Row],[Female% (40-44)]]</f>
        <v>0</v>
      </c>
      <c r="EE173" s="1">
        <f>$CU173*Table1[[#This Row],[Male%(55-59)]]</f>
        <v>0</v>
      </c>
      <c r="EF173" s="1">
        <f>$AF173*Table1[[#This Row],[Total% (45-49)]]</f>
        <v>0</v>
      </c>
      <c r="EG173" s="1">
        <f>$CT173*Table1[[#This Row],[Female% (45-49)]]</f>
        <v>0</v>
      </c>
      <c r="EH173" s="1">
        <f>$CU173*Table1[[#This Row],[Male% (45-49)]]</f>
        <v>0</v>
      </c>
      <c r="EI173" s="1">
        <f>$AF173*Table1[[#This Row],[Total% (50-54)]]</f>
        <v>0</v>
      </c>
      <c r="EJ173" s="1">
        <f>$CT173*Table1[[#This Row],[Female%(50-54)]]</f>
        <v>0</v>
      </c>
      <c r="EK173" s="1">
        <f>$CU173*Table1[[#This Row],[Male% (50-54)]]</f>
        <v>0</v>
      </c>
      <c r="EL173" s="1">
        <f>$AF173*Table1[[#This Row],[Total% (55-59)]]</f>
        <v>0</v>
      </c>
      <c r="EM173" s="1">
        <f>$CT173*Table1[[#This Row],[Female% (55-59)]]</f>
        <v>0</v>
      </c>
      <c r="EN173" s="1">
        <f>$CU173*Table1[[#This Row],[Male% (55-59)]]</f>
        <v>0</v>
      </c>
      <c r="EO173" s="1">
        <f>$AF173*Table1[[#This Row],[Total% (60-64)]]</f>
        <v>0</v>
      </c>
      <c r="EP173" s="1">
        <f>$CT173*Table1[[#This Row],[Female%(60-64)]]</f>
        <v>0</v>
      </c>
      <c r="EQ173" s="1">
        <f>$CU173*Table1[[#This Row],[Male%(60-64)]]</f>
        <v>0</v>
      </c>
      <c r="ER173" s="1">
        <f>$AF173*Table1[[#This Row],[Total% (&gt;=65)]]</f>
        <v>0</v>
      </c>
      <c r="ES173" s="1">
        <f>$CT173*Table1[[#This Row],[Female%(&gt;=65)]]</f>
        <v>0</v>
      </c>
      <c r="ET173" s="1">
        <f>$CU173*Table1[[#This Row],[Male% (&gt;=65)]]</f>
        <v>0</v>
      </c>
    </row>
    <row r="174" spans="1:150" hidden="1" x14ac:dyDescent="0.35">
      <c r="A174" t="s">
        <v>184</v>
      </c>
      <c r="B174" t="s">
        <v>185</v>
      </c>
      <c r="C174" t="s">
        <v>184</v>
      </c>
      <c r="D174" t="s">
        <v>186</v>
      </c>
      <c r="E174" t="s">
        <v>310</v>
      </c>
      <c r="F174" t="s">
        <v>311</v>
      </c>
      <c r="H174">
        <v>4</v>
      </c>
      <c r="I174" s="1">
        <v>0</v>
      </c>
      <c r="J174" s="1">
        <v>0</v>
      </c>
      <c r="K174" s="1">
        <v>472</v>
      </c>
      <c r="L174" s="1">
        <v>49015</v>
      </c>
      <c r="M174" s="1">
        <v>0</v>
      </c>
      <c r="N174" s="1">
        <v>49487</v>
      </c>
      <c r="O174" s="3">
        <v>0</v>
      </c>
      <c r="P174" s="3">
        <v>1</v>
      </c>
      <c r="Q174" s="3">
        <v>0</v>
      </c>
      <c r="R174" s="3">
        <v>0</v>
      </c>
      <c r="S174" s="3">
        <v>0</v>
      </c>
      <c r="T174" s="1">
        <v>49487</v>
      </c>
      <c r="U174" s="1">
        <v>0</v>
      </c>
      <c r="V174" s="10">
        <f>Table1[[#This Row],[Pop NW+RATAA]]*Table1[[#This Row],[Perc_pop_Northern_Aleppo]]</f>
        <v>0</v>
      </c>
      <c r="W174" s="10">
        <f>Table1[[#This Row],[Pop NW+RATAA]]*Table1[[#This Row],[Perc_pop_Afrin District]]</f>
        <v>0</v>
      </c>
      <c r="X174" s="10">
        <f>Table1[[#This Row],[Pop NW+RATAA]]*Table1[[#This Row],[Perc_pop_Euphrates Shiled]]</f>
        <v>0</v>
      </c>
      <c r="Y174" s="10">
        <f>Table1[[#This Row],[Pop NW+RATAA]]*Table1[[#This Row],[Perc_Pop_Idleb_NSAG]]</f>
        <v>0</v>
      </c>
      <c r="Z174" s="3">
        <v>0</v>
      </c>
      <c r="AA174" s="3">
        <v>0</v>
      </c>
      <c r="AB174" s="3">
        <v>0</v>
      </c>
      <c r="AC174" s="3">
        <v>0</v>
      </c>
      <c r="AD174" s="1">
        <v>0</v>
      </c>
      <c r="AE174" s="1">
        <v>49487</v>
      </c>
      <c r="AF174" s="1">
        <v>0</v>
      </c>
      <c r="AG174" s="1">
        <v>0</v>
      </c>
      <c r="AH174" s="1">
        <v>0</v>
      </c>
      <c r="AI174" s="1">
        <f>Table1[[#This Row],[NWS_pin]]*Table1[[#This Row],[Perc_pop_Northern_Aleppo]]</f>
        <v>0</v>
      </c>
      <c r="AJ174" s="1">
        <f>Table1[[#This Row],[NWS_pin]]*Table1[[#This Row],[Perc_pop_Afrin District]]</f>
        <v>0</v>
      </c>
      <c r="AK174" s="1">
        <f>Table1[[#This Row],[NWS_pin]]*Table1[[#This Row],[Perc_pop_Euphrates Shiled]]</f>
        <v>0</v>
      </c>
      <c r="AL174" s="1">
        <f>Table1[[#This Row],[NWS_pin]]*Table1[[#This Row],[Perc_Pop_Idleb_NSAG]]</f>
        <v>0</v>
      </c>
      <c r="AM174" s="4">
        <v>0.558106444701157</v>
      </c>
      <c r="AN174" s="4">
        <v>0.441893555298842</v>
      </c>
      <c r="AO174" s="4">
        <v>0.53725913373406697</v>
      </c>
      <c r="AP174" s="4">
        <v>0.44967119285456197</v>
      </c>
      <c r="AQ174" s="4">
        <v>0.49855987048795197</v>
      </c>
      <c r="AR174" s="4">
        <v>3.9931949322446498E-3</v>
      </c>
      <c r="AS174" s="4">
        <v>0</v>
      </c>
      <c r="AT174" s="4">
        <v>4.7775741725240503E-2</v>
      </c>
      <c r="AU174" s="4">
        <v>3.9012599277144802E-2</v>
      </c>
      <c r="AV174" s="4">
        <v>4.2152616859768302E-2</v>
      </c>
      <c r="AW174" s="4">
        <v>3.5046793421135002E-2</v>
      </c>
      <c r="AX174" s="4">
        <v>7.0345047383180107E-2</v>
      </c>
      <c r="AY174" s="4">
        <v>5.3864251786744803E-2</v>
      </c>
      <c r="AZ174" s="4">
        <v>9.116010142929E-2</v>
      </c>
      <c r="BA174" s="4">
        <v>6.3801375052188497E-2</v>
      </c>
      <c r="BB174" s="4">
        <v>4.9746526390553603E-2</v>
      </c>
      <c r="BC174" s="4">
        <v>8.1552486203952501E-2</v>
      </c>
      <c r="BD174" s="4">
        <v>6.5306605005323107E-2</v>
      </c>
      <c r="BE174" s="4">
        <v>6.4718071647356407E-2</v>
      </c>
      <c r="BF174" s="4">
        <v>6.6049915823197997E-2</v>
      </c>
      <c r="BG174" s="4">
        <v>3.59085889675732E-2</v>
      </c>
      <c r="BH174" s="4">
        <v>2.2600612598215501E-2</v>
      </c>
      <c r="BI174" s="4">
        <v>5.2716409060460399E-2</v>
      </c>
      <c r="BJ174" s="4">
        <v>5.9969078816908501E-2</v>
      </c>
      <c r="BK174" s="4">
        <v>5.3828738846717301E-2</v>
      </c>
      <c r="BL174" s="4">
        <v>6.7724257114773104E-2</v>
      </c>
      <c r="BM174" s="4">
        <v>2.5253852091460999E-2</v>
      </c>
      <c r="BN174" s="4">
        <v>3.5091223864695702E-2</v>
      </c>
      <c r="BO174" s="4">
        <v>1.2829365425547501E-2</v>
      </c>
      <c r="BP174" s="4">
        <v>7.9581167709215195E-2</v>
      </c>
      <c r="BQ174" s="4">
        <v>9.8196475340702305E-2</v>
      </c>
      <c r="BR174" s="4">
        <v>5.6070249673306101E-2</v>
      </c>
      <c r="BS174" s="4">
        <v>0.10650792695973001</v>
      </c>
      <c r="BT174" s="4">
        <v>0.12835690504727701</v>
      </c>
      <c r="BU174" s="4">
        <v>7.8912920572846296E-2</v>
      </c>
      <c r="BV174" s="4">
        <v>8.2577654514991203E-2</v>
      </c>
      <c r="BW174" s="4">
        <v>9.8856483331113701E-2</v>
      </c>
      <c r="BX174" s="4">
        <v>6.2017682174320299E-2</v>
      </c>
      <c r="BY174" s="4">
        <v>5.9922799115274802E-2</v>
      </c>
      <c r="BZ174" s="4">
        <v>4.7596395436587197E-2</v>
      </c>
      <c r="CA174" s="4">
        <v>7.5490904263156397E-2</v>
      </c>
      <c r="CB174" s="4">
        <v>4.2072708285166599E-2</v>
      </c>
      <c r="CC174" s="4">
        <v>4.5595241266036299E-2</v>
      </c>
      <c r="CD174" s="4">
        <v>3.7623789909413799E-2</v>
      </c>
      <c r="CE174" s="4">
        <v>6.4615085180912496E-2</v>
      </c>
      <c r="CF174" s="4">
        <v>7.0293425666977397E-2</v>
      </c>
      <c r="CG174" s="4">
        <v>5.7443406883099103E-2</v>
      </c>
      <c r="CH174" s="4">
        <v>5.4666138529714699E-2</v>
      </c>
      <c r="CI174" s="4">
        <v>5.2656279131708603E-2</v>
      </c>
      <c r="CJ174" s="4">
        <v>5.7204567681983703E-2</v>
      </c>
      <c r="CK174" s="4">
        <v>5.1567083220318097E-2</v>
      </c>
      <c r="CL174" s="4">
        <v>4.7716251609180103E-2</v>
      </c>
      <c r="CM174" s="4">
        <v>5.6430638965505597E-2</v>
      </c>
      <c r="CN174" s="4">
        <v>2.7305123063870802E-2</v>
      </c>
      <c r="CO174" s="4">
        <v>2.20597505215963E-2</v>
      </c>
      <c r="CP174" s="4">
        <v>3.3929967860989799E-2</v>
      </c>
      <c r="CQ174" s="4">
        <v>7.1587166827026996E-2</v>
      </c>
      <c r="CR174" s="4">
        <v>6.6670750654769795E-2</v>
      </c>
      <c r="CS174" s="4">
        <v>7.7796543537022506E-2</v>
      </c>
      <c r="CT174" s="1">
        <f>Table1[[#This Row],[Female %]]*Table1[[#This Row],[NWS_pin]]</f>
        <v>0</v>
      </c>
      <c r="CU174" s="1">
        <f>Table1[[#This Row],[Male %]]*Table1[[#This Row],[NWS_pin]]</f>
        <v>0</v>
      </c>
      <c r="CV174" s="1">
        <f>Table1[[#This Row],[Female% (0-2)22]]+Table1[[#This Row],[Male%(0-2)3]]</f>
        <v>0</v>
      </c>
      <c r="CW174" s="1">
        <f>$CT174*Table1[[#This Row],[Female% (0-2)]]</f>
        <v>0</v>
      </c>
      <c r="CX174" s="1">
        <f>$CU174*Table1[[#This Row],[Male%(0-2)]]</f>
        <v>0</v>
      </c>
      <c r="CY174" s="1">
        <f>Table1[[#This Row],[Female%  (3-5)5]]+Table1[[#This Row],[Male% (3-5)6]]</f>
        <v>0</v>
      </c>
      <c r="CZ174" s="1">
        <f>$AF174*Table1[[#This Row],[Female%  (3-5)]]</f>
        <v>0</v>
      </c>
      <c r="DA174" s="1">
        <f>$CU174*Table1[[#This Row],[Male% (3-5)]]</f>
        <v>0</v>
      </c>
      <c r="DB174" s="1">
        <f>Table1[[#This Row],[Female% (6-8)8]]+Table1[[#This Row],[Male%(6-8)9]]</f>
        <v>0</v>
      </c>
      <c r="DC174" s="1">
        <f>$CT174*Table1[[#This Row],[Female% (6-8)]]</f>
        <v>0</v>
      </c>
      <c r="DD174" s="1">
        <f>$CU174*Table1[[#This Row],[Male%(6-8)]]</f>
        <v>0</v>
      </c>
      <c r="DE174" s="1">
        <f>Table1[[#This Row],[Female% (9 - 11)11]]+Table1[[#This Row],[Male% (9 - 11)12]]</f>
        <v>0</v>
      </c>
      <c r="DF174" s="1">
        <f>$CT174*Table1[[#This Row],[Female% (9 - 11)]]</f>
        <v>0</v>
      </c>
      <c r="DG174" s="1">
        <f>$CU174*Table1[[#This Row],[Male% (9 - 11)]]</f>
        <v>0</v>
      </c>
      <c r="DH174" s="1">
        <f>Table1[[#This Row],[Female% (12-14)14]]+Table1[[#This Row],[Male%(12-14)15]]</f>
        <v>0</v>
      </c>
      <c r="DI174" s="1">
        <f>$CT174*Table1[[#This Row],[Female% (12-14)]]</f>
        <v>0</v>
      </c>
      <c r="DJ174" s="1">
        <f>$CU174*Table1[[#This Row],[Male%(12-14)]]</f>
        <v>0</v>
      </c>
      <c r="DK174" s="1">
        <f>Table1[[#This Row],[Female% (15-17)17]]+Table1[[#This Row],[Male%(15-17)18]]</f>
        <v>0</v>
      </c>
      <c r="DL174" s="1">
        <f>$CT174*Table1[[#This Row],[Female% (15-17)]]</f>
        <v>0</v>
      </c>
      <c r="DM174" s="1">
        <f>$CU174*Table1[[#This Row],[Male%(15-17)]]</f>
        <v>0</v>
      </c>
      <c r="DN174" s="1">
        <f>$AF174*Table1[[#This Row],[Total% (18-19)]]</f>
        <v>0</v>
      </c>
      <c r="DO174" s="1">
        <f>$CT174*Table1[[#This Row],[Female% (18-19)]]</f>
        <v>0</v>
      </c>
      <c r="DP174" s="1">
        <f>$CU174*Table1[[#This Row],[Male%(18-19)]]</f>
        <v>0</v>
      </c>
      <c r="DQ174" s="1">
        <f>$AF174*Table1[[#This Row],[Total% (20-24)]]</f>
        <v>0</v>
      </c>
      <c r="DR174" s="1">
        <f>$CT174*Table1[[#This Row],[Female% (20-24)]]</f>
        <v>0</v>
      </c>
      <c r="DS174" s="1">
        <f>$CU174*Table1[[#This Row],[Male% (20-24)]]</f>
        <v>0</v>
      </c>
      <c r="DT174" s="1">
        <f>$AF174*Table1[[#This Row],[Total% (25-29)]]</f>
        <v>0</v>
      </c>
      <c r="DU174" s="1">
        <f>$CT174*Table1[[#This Row],[Female% (25-29)]]</f>
        <v>0</v>
      </c>
      <c r="DV174" s="1">
        <f>$CU174*Table1[[#This Row],[Male% (25-29)]]</f>
        <v>0</v>
      </c>
      <c r="DW174" s="1">
        <f>$AF174*Table1[[#This Row],[Total%   (30-34)]]</f>
        <v>0</v>
      </c>
      <c r="DX174" s="1">
        <f>$CT174*Table1[[#This Row],[Female%   (30-34)]]</f>
        <v>0</v>
      </c>
      <c r="DY174" s="1">
        <f>$CU174*Table1[[#This Row],[Male%  (30-34)]]</f>
        <v>0</v>
      </c>
      <c r="DZ174" s="1">
        <f>$AF174*Table1[[#This Row],[Total% (35-39)]]</f>
        <v>0</v>
      </c>
      <c r="EA174" s="1">
        <f>$CT174*Table1[[#This Row],[Female% (35-39)]]</f>
        <v>0</v>
      </c>
      <c r="EB174" s="1">
        <f>$CU174*Table1[[#This Row],[Male% (35-39)]]</f>
        <v>0</v>
      </c>
      <c r="EC174" s="1">
        <f>$AF174*Table1[[#This Row],[Total% (40-44)]]</f>
        <v>0</v>
      </c>
      <c r="ED174" s="1">
        <f>$CT174*Table1[[#This Row],[Female% (40-44)]]</f>
        <v>0</v>
      </c>
      <c r="EE174" s="1">
        <f>$CU174*Table1[[#This Row],[Male%(55-59)]]</f>
        <v>0</v>
      </c>
      <c r="EF174" s="1">
        <f>$AF174*Table1[[#This Row],[Total% (45-49)]]</f>
        <v>0</v>
      </c>
      <c r="EG174" s="1">
        <f>$CT174*Table1[[#This Row],[Female% (45-49)]]</f>
        <v>0</v>
      </c>
      <c r="EH174" s="1">
        <f>$CU174*Table1[[#This Row],[Male% (45-49)]]</f>
        <v>0</v>
      </c>
      <c r="EI174" s="1">
        <f>$AF174*Table1[[#This Row],[Total% (50-54)]]</f>
        <v>0</v>
      </c>
      <c r="EJ174" s="1">
        <f>$CT174*Table1[[#This Row],[Female%(50-54)]]</f>
        <v>0</v>
      </c>
      <c r="EK174" s="1">
        <f>$CU174*Table1[[#This Row],[Male% (50-54)]]</f>
        <v>0</v>
      </c>
      <c r="EL174" s="1">
        <f>$AF174*Table1[[#This Row],[Total% (55-59)]]</f>
        <v>0</v>
      </c>
      <c r="EM174" s="1">
        <f>$CT174*Table1[[#This Row],[Female% (55-59)]]</f>
        <v>0</v>
      </c>
      <c r="EN174" s="1">
        <f>$CU174*Table1[[#This Row],[Male% (55-59)]]</f>
        <v>0</v>
      </c>
      <c r="EO174" s="1">
        <f>$AF174*Table1[[#This Row],[Total% (60-64)]]</f>
        <v>0</v>
      </c>
      <c r="EP174" s="1">
        <f>$CT174*Table1[[#This Row],[Female%(60-64)]]</f>
        <v>0</v>
      </c>
      <c r="EQ174" s="1">
        <f>$CU174*Table1[[#This Row],[Male%(60-64)]]</f>
        <v>0</v>
      </c>
      <c r="ER174" s="1">
        <f>$AF174*Table1[[#This Row],[Total% (&gt;=65)]]</f>
        <v>0</v>
      </c>
      <c r="ES174" s="1">
        <f>$CT174*Table1[[#This Row],[Female%(&gt;=65)]]</f>
        <v>0</v>
      </c>
      <c r="ET174" s="1">
        <f>$CU174*Table1[[#This Row],[Male% (&gt;=65)]]</f>
        <v>0</v>
      </c>
    </row>
    <row r="175" spans="1:150" hidden="1" x14ac:dyDescent="0.35">
      <c r="A175" t="s">
        <v>184</v>
      </c>
      <c r="B175" t="s">
        <v>185</v>
      </c>
      <c r="C175" t="s">
        <v>184</v>
      </c>
      <c r="D175" t="s">
        <v>186</v>
      </c>
      <c r="E175" t="s">
        <v>267</v>
      </c>
      <c r="F175" t="s">
        <v>268</v>
      </c>
      <c r="H175">
        <v>4</v>
      </c>
      <c r="I175" s="1">
        <v>0</v>
      </c>
      <c r="J175" s="1">
        <v>0</v>
      </c>
      <c r="K175" s="1">
        <v>17247</v>
      </c>
      <c r="L175" s="1">
        <v>19332</v>
      </c>
      <c r="M175" s="1">
        <v>0</v>
      </c>
      <c r="N175" s="1">
        <v>36579</v>
      </c>
      <c r="O175" s="3">
        <v>0</v>
      </c>
      <c r="P175" s="3">
        <v>1</v>
      </c>
      <c r="Q175" s="3">
        <v>0</v>
      </c>
      <c r="R175" s="3">
        <v>0</v>
      </c>
      <c r="S175" s="3">
        <v>0</v>
      </c>
      <c r="T175" s="1">
        <v>36579</v>
      </c>
      <c r="U175" s="1">
        <v>0</v>
      </c>
      <c r="V175" s="10">
        <f>Table1[[#This Row],[Pop NW+RATAA]]*Table1[[#This Row],[Perc_pop_Northern_Aleppo]]</f>
        <v>0</v>
      </c>
      <c r="W175" s="10">
        <f>Table1[[#This Row],[Pop NW+RATAA]]*Table1[[#This Row],[Perc_pop_Afrin District]]</f>
        <v>0</v>
      </c>
      <c r="X175" s="10">
        <f>Table1[[#This Row],[Pop NW+RATAA]]*Table1[[#This Row],[Perc_pop_Euphrates Shiled]]</f>
        <v>0</v>
      </c>
      <c r="Y175" s="10">
        <f>Table1[[#This Row],[Pop NW+RATAA]]*Table1[[#This Row],[Perc_Pop_Idleb_NSAG]]</f>
        <v>0</v>
      </c>
      <c r="Z175" s="3">
        <v>0</v>
      </c>
      <c r="AA175" s="3">
        <v>0</v>
      </c>
      <c r="AB175" s="3">
        <v>0</v>
      </c>
      <c r="AC175" s="3">
        <v>0</v>
      </c>
      <c r="AD175" s="1">
        <v>0</v>
      </c>
      <c r="AE175" s="1">
        <v>36579</v>
      </c>
      <c r="AF175" s="1">
        <v>0</v>
      </c>
      <c r="AG175" s="1">
        <v>0</v>
      </c>
      <c r="AH175" s="1">
        <v>0</v>
      </c>
      <c r="AI175" s="1">
        <f>Table1[[#This Row],[NWS_pin]]*Table1[[#This Row],[Perc_pop_Northern_Aleppo]]</f>
        <v>0</v>
      </c>
      <c r="AJ175" s="1">
        <f>Table1[[#This Row],[NWS_pin]]*Table1[[#This Row],[Perc_pop_Afrin District]]</f>
        <v>0</v>
      </c>
      <c r="AK175" s="1">
        <f>Table1[[#This Row],[NWS_pin]]*Table1[[#This Row],[Perc_pop_Euphrates Shiled]]</f>
        <v>0</v>
      </c>
      <c r="AL175" s="1">
        <f>Table1[[#This Row],[NWS_pin]]*Table1[[#This Row],[Perc_Pop_Idleb_NSAG]]</f>
        <v>0</v>
      </c>
      <c r="AM175" s="4">
        <v>0.48815794130441298</v>
      </c>
      <c r="AN175" s="4">
        <v>0.51184205869558697</v>
      </c>
      <c r="AO175" s="4">
        <v>5.8031702364577199E-2</v>
      </c>
      <c r="AP175" s="4">
        <v>0.37805840922717998</v>
      </c>
      <c r="AQ175" s="4">
        <v>0.54224809448704503</v>
      </c>
      <c r="AR175" s="4">
        <v>7.5353449696476697E-3</v>
      </c>
      <c r="AS175" s="4">
        <v>9.3431878179920096E-4</v>
      </c>
      <c r="AT175" s="4">
        <v>7.1223832534327194E-2</v>
      </c>
      <c r="AU175" s="4">
        <v>5.1690804213880601E-2</v>
      </c>
      <c r="AV175" s="4">
        <v>3.5727344788491197E-2</v>
      </c>
      <c r="AW175" s="4">
        <v>6.6915597403119503E-2</v>
      </c>
      <c r="AX175" s="4">
        <v>0.13698726775870401</v>
      </c>
      <c r="AY175" s="4">
        <v>0.12070227084136401</v>
      </c>
      <c r="AZ175" s="4">
        <v>0.15251872015551701</v>
      </c>
      <c r="BA175" s="4">
        <v>0.10539732654054</v>
      </c>
      <c r="BB175" s="4">
        <v>9.1501460713253796E-2</v>
      </c>
      <c r="BC175" s="4">
        <v>0.11865019847564</v>
      </c>
      <c r="BD175" s="4">
        <v>8.1890157770386093E-2</v>
      </c>
      <c r="BE175" s="4">
        <v>6.5148275199164996E-2</v>
      </c>
      <c r="BF175" s="4">
        <v>9.7857354663809404E-2</v>
      </c>
      <c r="BG175" s="4">
        <v>7.5324201875053995E-2</v>
      </c>
      <c r="BH175" s="4">
        <v>7.1595782905378103E-2</v>
      </c>
      <c r="BI175" s="4">
        <v>7.8880098264646606E-2</v>
      </c>
      <c r="BJ175" s="4">
        <v>3.8736501117842798E-2</v>
      </c>
      <c r="BK175" s="4">
        <v>2.2647332184242901E-2</v>
      </c>
      <c r="BL175" s="4">
        <v>5.4081186945226498E-2</v>
      </c>
      <c r="BM175" s="4">
        <v>1.0349587450328501E-2</v>
      </c>
      <c r="BN175" s="4">
        <v>1.00243537902189E-2</v>
      </c>
      <c r="BO175" s="4">
        <v>1.06597717958015E-2</v>
      </c>
      <c r="BP175" s="4">
        <v>5.0003623478140198E-2</v>
      </c>
      <c r="BQ175" s="4">
        <v>8.2963761851288703E-2</v>
      </c>
      <c r="BR175" s="4">
        <v>1.85686270373456E-2</v>
      </c>
      <c r="BS175" s="4">
        <v>8.2580391036894699E-2</v>
      </c>
      <c r="BT175" s="4">
        <v>0.12122906712202899</v>
      </c>
      <c r="BU175" s="4">
        <v>4.5720078697690902E-2</v>
      </c>
      <c r="BV175" s="4">
        <v>8.9277326723405104E-2</v>
      </c>
      <c r="BW175" s="4">
        <v>0.10094915478552401</v>
      </c>
      <c r="BX175" s="4">
        <v>7.8145581175601497E-2</v>
      </c>
      <c r="BY175" s="4">
        <v>7.4129517540710496E-2</v>
      </c>
      <c r="BZ175" s="4">
        <v>6.73018849013646E-2</v>
      </c>
      <c r="CA175" s="4">
        <v>8.0641219806248998E-2</v>
      </c>
      <c r="CB175" s="4">
        <v>5.05496917794441E-2</v>
      </c>
      <c r="CC175" s="4">
        <v>4.13292941333821E-2</v>
      </c>
      <c r="CD175" s="4">
        <v>5.9343440273619E-2</v>
      </c>
      <c r="CE175" s="4">
        <v>3.4871411590307398E-2</v>
      </c>
      <c r="CF175" s="4">
        <v>2.59472166720097E-2</v>
      </c>
      <c r="CG175" s="4">
        <v>4.3382663342884598E-2</v>
      </c>
      <c r="CH175" s="4">
        <v>2.67754132229873E-2</v>
      </c>
      <c r="CI175" s="4">
        <v>4.16560023125149E-2</v>
      </c>
      <c r="CJ175" s="4">
        <v>1.25833834514343E-2</v>
      </c>
      <c r="CK175" s="4">
        <v>2.8021787025099401E-2</v>
      </c>
      <c r="CL175" s="4">
        <v>4.5274632187454797E-2</v>
      </c>
      <c r="CM175" s="4">
        <v>1.15672709629322E-2</v>
      </c>
      <c r="CN175" s="4">
        <v>3.3455154399487999E-2</v>
      </c>
      <c r="CO175" s="4">
        <v>2.7675493090466699E-2</v>
      </c>
      <c r="CP175" s="4">
        <v>3.8967377395071397E-2</v>
      </c>
      <c r="CQ175" s="4">
        <v>2.99598364767872E-2</v>
      </c>
      <c r="CR175" s="4">
        <v>2.8326672521850602E-2</v>
      </c>
      <c r="CS175" s="4">
        <v>3.1517430153411102E-2</v>
      </c>
      <c r="CT175" s="1">
        <f>Table1[[#This Row],[Female %]]*Table1[[#This Row],[NWS_pin]]</f>
        <v>0</v>
      </c>
      <c r="CU175" s="1">
        <f>Table1[[#This Row],[Male %]]*Table1[[#This Row],[NWS_pin]]</f>
        <v>0</v>
      </c>
      <c r="CV175" s="1">
        <f>Table1[[#This Row],[Female% (0-2)22]]+Table1[[#This Row],[Male%(0-2)3]]</f>
        <v>0</v>
      </c>
      <c r="CW175" s="1">
        <f>$CT175*Table1[[#This Row],[Female% (0-2)]]</f>
        <v>0</v>
      </c>
      <c r="CX175" s="1">
        <f>$CU175*Table1[[#This Row],[Male%(0-2)]]</f>
        <v>0</v>
      </c>
      <c r="CY175" s="1">
        <f>Table1[[#This Row],[Female%  (3-5)5]]+Table1[[#This Row],[Male% (3-5)6]]</f>
        <v>0</v>
      </c>
      <c r="CZ175" s="1">
        <f>$AF175*Table1[[#This Row],[Female%  (3-5)]]</f>
        <v>0</v>
      </c>
      <c r="DA175" s="1">
        <f>$CU175*Table1[[#This Row],[Male% (3-5)]]</f>
        <v>0</v>
      </c>
      <c r="DB175" s="1">
        <f>Table1[[#This Row],[Female% (6-8)8]]+Table1[[#This Row],[Male%(6-8)9]]</f>
        <v>0</v>
      </c>
      <c r="DC175" s="1">
        <f>$CT175*Table1[[#This Row],[Female% (6-8)]]</f>
        <v>0</v>
      </c>
      <c r="DD175" s="1">
        <f>$CU175*Table1[[#This Row],[Male%(6-8)]]</f>
        <v>0</v>
      </c>
      <c r="DE175" s="1">
        <f>Table1[[#This Row],[Female% (9 - 11)11]]+Table1[[#This Row],[Male% (9 - 11)12]]</f>
        <v>0</v>
      </c>
      <c r="DF175" s="1">
        <f>$CT175*Table1[[#This Row],[Female% (9 - 11)]]</f>
        <v>0</v>
      </c>
      <c r="DG175" s="1">
        <f>$CU175*Table1[[#This Row],[Male% (9 - 11)]]</f>
        <v>0</v>
      </c>
      <c r="DH175" s="1">
        <f>Table1[[#This Row],[Female% (12-14)14]]+Table1[[#This Row],[Male%(12-14)15]]</f>
        <v>0</v>
      </c>
      <c r="DI175" s="1">
        <f>$CT175*Table1[[#This Row],[Female% (12-14)]]</f>
        <v>0</v>
      </c>
      <c r="DJ175" s="1">
        <f>$CU175*Table1[[#This Row],[Male%(12-14)]]</f>
        <v>0</v>
      </c>
      <c r="DK175" s="1">
        <f>Table1[[#This Row],[Female% (15-17)17]]+Table1[[#This Row],[Male%(15-17)18]]</f>
        <v>0</v>
      </c>
      <c r="DL175" s="1">
        <f>$CT175*Table1[[#This Row],[Female% (15-17)]]</f>
        <v>0</v>
      </c>
      <c r="DM175" s="1">
        <f>$CU175*Table1[[#This Row],[Male%(15-17)]]</f>
        <v>0</v>
      </c>
      <c r="DN175" s="1">
        <f>$AF175*Table1[[#This Row],[Total% (18-19)]]</f>
        <v>0</v>
      </c>
      <c r="DO175" s="1">
        <f>$CT175*Table1[[#This Row],[Female% (18-19)]]</f>
        <v>0</v>
      </c>
      <c r="DP175" s="1">
        <f>$CU175*Table1[[#This Row],[Male%(18-19)]]</f>
        <v>0</v>
      </c>
      <c r="DQ175" s="1">
        <f>$AF175*Table1[[#This Row],[Total% (20-24)]]</f>
        <v>0</v>
      </c>
      <c r="DR175" s="1">
        <f>$CT175*Table1[[#This Row],[Female% (20-24)]]</f>
        <v>0</v>
      </c>
      <c r="DS175" s="1">
        <f>$CU175*Table1[[#This Row],[Male% (20-24)]]</f>
        <v>0</v>
      </c>
      <c r="DT175" s="1">
        <f>$AF175*Table1[[#This Row],[Total% (25-29)]]</f>
        <v>0</v>
      </c>
      <c r="DU175" s="1">
        <f>$CT175*Table1[[#This Row],[Female% (25-29)]]</f>
        <v>0</v>
      </c>
      <c r="DV175" s="1">
        <f>$CU175*Table1[[#This Row],[Male% (25-29)]]</f>
        <v>0</v>
      </c>
      <c r="DW175" s="1">
        <f>$AF175*Table1[[#This Row],[Total%   (30-34)]]</f>
        <v>0</v>
      </c>
      <c r="DX175" s="1">
        <f>$CT175*Table1[[#This Row],[Female%   (30-34)]]</f>
        <v>0</v>
      </c>
      <c r="DY175" s="1">
        <f>$CU175*Table1[[#This Row],[Male%  (30-34)]]</f>
        <v>0</v>
      </c>
      <c r="DZ175" s="1">
        <f>$AF175*Table1[[#This Row],[Total% (35-39)]]</f>
        <v>0</v>
      </c>
      <c r="EA175" s="1">
        <f>$CT175*Table1[[#This Row],[Female% (35-39)]]</f>
        <v>0</v>
      </c>
      <c r="EB175" s="1">
        <f>$CU175*Table1[[#This Row],[Male% (35-39)]]</f>
        <v>0</v>
      </c>
      <c r="EC175" s="1">
        <f>$AF175*Table1[[#This Row],[Total% (40-44)]]</f>
        <v>0</v>
      </c>
      <c r="ED175" s="1">
        <f>$CT175*Table1[[#This Row],[Female% (40-44)]]</f>
        <v>0</v>
      </c>
      <c r="EE175" s="1">
        <f>$CU175*Table1[[#This Row],[Male%(55-59)]]</f>
        <v>0</v>
      </c>
      <c r="EF175" s="1">
        <f>$AF175*Table1[[#This Row],[Total% (45-49)]]</f>
        <v>0</v>
      </c>
      <c r="EG175" s="1">
        <f>$CT175*Table1[[#This Row],[Female% (45-49)]]</f>
        <v>0</v>
      </c>
      <c r="EH175" s="1">
        <f>$CU175*Table1[[#This Row],[Male% (45-49)]]</f>
        <v>0</v>
      </c>
      <c r="EI175" s="1">
        <f>$AF175*Table1[[#This Row],[Total% (50-54)]]</f>
        <v>0</v>
      </c>
      <c r="EJ175" s="1">
        <f>$CT175*Table1[[#This Row],[Female%(50-54)]]</f>
        <v>0</v>
      </c>
      <c r="EK175" s="1">
        <f>$CU175*Table1[[#This Row],[Male% (50-54)]]</f>
        <v>0</v>
      </c>
      <c r="EL175" s="1">
        <f>$AF175*Table1[[#This Row],[Total% (55-59)]]</f>
        <v>0</v>
      </c>
      <c r="EM175" s="1">
        <f>$CT175*Table1[[#This Row],[Female% (55-59)]]</f>
        <v>0</v>
      </c>
      <c r="EN175" s="1">
        <f>$CU175*Table1[[#This Row],[Male% (55-59)]]</f>
        <v>0</v>
      </c>
      <c r="EO175" s="1">
        <f>$AF175*Table1[[#This Row],[Total% (60-64)]]</f>
        <v>0</v>
      </c>
      <c r="EP175" s="1">
        <f>$CT175*Table1[[#This Row],[Female%(60-64)]]</f>
        <v>0</v>
      </c>
      <c r="EQ175" s="1">
        <f>$CU175*Table1[[#This Row],[Male%(60-64)]]</f>
        <v>0</v>
      </c>
      <c r="ER175" s="1">
        <f>$AF175*Table1[[#This Row],[Total% (&gt;=65)]]</f>
        <v>0</v>
      </c>
      <c r="ES175" s="1">
        <f>$CT175*Table1[[#This Row],[Female%(&gt;=65)]]</f>
        <v>0</v>
      </c>
      <c r="ET175" s="1">
        <f>$CU175*Table1[[#This Row],[Male% (&gt;=65)]]</f>
        <v>0</v>
      </c>
    </row>
    <row r="176" spans="1:150" hidden="1" x14ac:dyDescent="0.35">
      <c r="A176" t="s">
        <v>184</v>
      </c>
      <c r="B176" t="s">
        <v>185</v>
      </c>
      <c r="C176" t="s">
        <v>184</v>
      </c>
      <c r="D176" t="s">
        <v>186</v>
      </c>
      <c r="E176" t="s">
        <v>339</v>
      </c>
      <c r="F176" t="s">
        <v>340</v>
      </c>
      <c r="H176">
        <v>4</v>
      </c>
      <c r="I176" s="1">
        <v>0</v>
      </c>
      <c r="J176" s="1">
        <v>0</v>
      </c>
      <c r="K176" s="1">
        <v>5749</v>
      </c>
      <c r="L176" s="1">
        <v>10246</v>
      </c>
      <c r="M176" s="1">
        <v>0</v>
      </c>
      <c r="N176" s="1">
        <v>15995</v>
      </c>
      <c r="O176" s="3">
        <v>0</v>
      </c>
      <c r="P176" s="3">
        <v>1</v>
      </c>
      <c r="Q176" s="3">
        <v>0</v>
      </c>
      <c r="R176" s="3">
        <v>0</v>
      </c>
      <c r="S176" s="3">
        <v>0</v>
      </c>
      <c r="T176" s="1">
        <v>15995</v>
      </c>
      <c r="U176" s="1">
        <v>0</v>
      </c>
      <c r="V176" s="10">
        <f>Table1[[#This Row],[Pop NW+RATAA]]*Table1[[#This Row],[Perc_pop_Northern_Aleppo]]</f>
        <v>0</v>
      </c>
      <c r="W176" s="10">
        <f>Table1[[#This Row],[Pop NW+RATAA]]*Table1[[#This Row],[Perc_pop_Afrin District]]</f>
        <v>0</v>
      </c>
      <c r="X176" s="10">
        <f>Table1[[#This Row],[Pop NW+RATAA]]*Table1[[#This Row],[Perc_pop_Euphrates Shiled]]</f>
        <v>0</v>
      </c>
      <c r="Y176" s="10">
        <f>Table1[[#This Row],[Pop NW+RATAA]]*Table1[[#This Row],[Perc_Pop_Idleb_NSAG]]</f>
        <v>0</v>
      </c>
      <c r="Z176" s="3">
        <v>0</v>
      </c>
      <c r="AA176" s="3">
        <v>0</v>
      </c>
      <c r="AB176" s="3">
        <v>0</v>
      </c>
      <c r="AC176" s="3">
        <v>0</v>
      </c>
      <c r="AD176" s="1">
        <v>0</v>
      </c>
      <c r="AE176" s="1">
        <v>15995</v>
      </c>
      <c r="AF176" s="1">
        <v>0</v>
      </c>
      <c r="AG176" s="1">
        <v>0</v>
      </c>
      <c r="AH176" s="1">
        <v>0</v>
      </c>
      <c r="AI176" s="1">
        <f>Table1[[#This Row],[NWS_pin]]*Table1[[#This Row],[Perc_pop_Northern_Aleppo]]</f>
        <v>0</v>
      </c>
      <c r="AJ176" s="1">
        <f>Table1[[#This Row],[NWS_pin]]*Table1[[#This Row],[Perc_pop_Afrin District]]</f>
        <v>0</v>
      </c>
      <c r="AK176" s="1">
        <f>Table1[[#This Row],[NWS_pin]]*Table1[[#This Row],[Perc_pop_Euphrates Shiled]]</f>
        <v>0</v>
      </c>
      <c r="AL176" s="1">
        <f>Table1[[#This Row],[NWS_pin]]*Table1[[#This Row],[Perc_Pop_Idleb_NSAG]]</f>
        <v>0</v>
      </c>
      <c r="AM176" s="4">
        <v>0.43220092875613197</v>
      </c>
      <c r="AN176" s="4">
        <v>0.56779907124386797</v>
      </c>
      <c r="AO176" s="4">
        <v>0.247151927437642</v>
      </c>
      <c r="AP176" s="4">
        <v>0.41721139222464398</v>
      </c>
      <c r="AQ176" s="4">
        <v>0.51506723013957501</v>
      </c>
      <c r="AR176" s="4">
        <v>1.7240398345168301E-2</v>
      </c>
      <c r="AS176" s="4">
        <v>0</v>
      </c>
      <c r="AT176" s="4">
        <v>5.0480979290612897E-2</v>
      </c>
      <c r="AU176" s="4">
        <v>4.58168084780948E-2</v>
      </c>
      <c r="AV176" s="4">
        <v>1.16744149746539E-2</v>
      </c>
      <c r="AW176" s="4">
        <v>7.1805533943633204E-2</v>
      </c>
      <c r="AX176" s="4">
        <v>9.8683349565730397E-2</v>
      </c>
      <c r="AY176" s="4">
        <v>9.8126813640531801E-2</v>
      </c>
      <c r="AZ176" s="4">
        <v>9.9106977140939495E-2</v>
      </c>
      <c r="BA176" s="4">
        <v>9.2757188465881199E-2</v>
      </c>
      <c r="BB176" s="4">
        <v>0.105232597786695</v>
      </c>
      <c r="BC176" s="4">
        <v>8.3261076604943002E-2</v>
      </c>
      <c r="BD176" s="4">
        <v>0.112514828875229</v>
      </c>
      <c r="BE176" s="4">
        <v>9.9630448733786195E-2</v>
      </c>
      <c r="BF176" s="4">
        <v>0.122322243761237</v>
      </c>
      <c r="BG176" s="4">
        <v>6.1058806474055198E-2</v>
      </c>
      <c r="BH176" s="4">
        <v>3.9495512569776701E-2</v>
      </c>
      <c r="BI176" s="4">
        <v>7.74724924493672E-2</v>
      </c>
      <c r="BJ176" s="4">
        <v>7.6561738118820097E-2</v>
      </c>
      <c r="BK176" s="4">
        <v>3.8655798254286999E-2</v>
      </c>
      <c r="BL176" s="4">
        <v>0.10541522387556</v>
      </c>
      <c r="BM176" s="4">
        <v>1.91753631797872E-2</v>
      </c>
      <c r="BN176" s="4">
        <v>1.1508165394318599E-2</v>
      </c>
      <c r="BO176" s="4">
        <v>2.5011529830389598E-2</v>
      </c>
      <c r="BP176" s="4">
        <v>8.4878881745628798E-2</v>
      </c>
      <c r="BQ176" s="4">
        <v>0.10667866126601799</v>
      </c>
      <c r="BR176" s="4">
        <v>6.8285186136456899E-2</v>
      </c>
      <c r="BS176" s="4">
        <v>5.8862958672221598E-2</v>
      </c>
      <c r="BT176" s="4">
        <v>7.7184754236170106E-2</v>
      </c>
      <c r="BU176" s="4">
        <v>4.4916657136590099E-2</v>
      </c>
      <c r="BV176" s="4">
        <v>7.1875577362269502E-2</v>
      </c>
      <c r="BW176" s="4">
        <v>8.5024345557757397E-2</v>
      </c>
      <c r="BX176" s="4">
        <v>6.1866913886227698E-2</v>
      </c>
      <c r="BY176" s="4">
        <v>8.6452999575999501E-2</v>
      </c>
      <c r="BZ176" s="4">
        <v>0.116623003061609</v>
      </c>
      <c r="CA176" s="4">
        <v>6.3488003352087305E-2</v>
      </c>
      <c r="CB176" s="4">
        <v>8.3782654379144603E-2</v>
      </c>
      <c r="CC176" s="4">
        <v>9.8844457662312299E-2</v>
      </c>
      <c r="CD176" s="4">
        <v>7.2317814619074994E-2</v>
      </c>
      <c r="CE176" s="4">
        <v>4.7808007655827801E-2</v>
      </c>
      <c r="CF176" s="4">
        <v>4.6741993120038197E-2</v>
      </c>
      <c r="CG176" s="4">
        <v>4.8619443418529099E-2</v>
      </c>
      <c r="CH176" s="4">
        <v>2.6935245143570399E-2</v>
      </c>
      <c r="CI176" s="4">
        <v>2.2559452312308499E-2</v>
      </c>
      <c r="CJ176" s="4">
        <v>3.02660391189335E-2</v>
      </c>
      <c r="CK176" s="4">
        <v>4.4541014584807102E-3</v>
      </c>
      <c r="CL176" s="4">
        <v>7.5255643365094698E-3</v>
      </c>
      <c r="CM176" s="4">
        <v>2.1161456995607399E-3</v>
      </c>
      <c r="CN176" s="4">
        <v>1.23507706690619E-2</v>
      </c>
      <c r="CO176" s="4">
        <v>1.9395784372447E-3</v>
      </c>
      <c r="CP176" s="4">
        <v>2.0275628563233099E-2</v>
      </c>
      <c r="CQ176" s="4">
        <v>1.6030720180197199E-2</v>
      </c>
      <c r="CR176" s="4">
        <v>3.2554438655983002E-2</v>
      </c>
      <c r="CS176" s="4">
        <v>3.4530904632367101E-3</v>
      </c>
      <c r="CT176" s="1">
        <f>Table1[[#This Row],[Female %]]*Table1[[#This Row],[NWS_pin]]</f>
        <v>0</v>
      </c>
      <c r="CU176" s="1">
        <f>Table1[[#This Row],[Male %]]*Table1[[#This Row],[NWS_pin]]</f>
        <v>0</v>
      </c>
      <c r="CV176" s="1">
        <f>Table1[[#This Row],[Female% (0-2)22]]+Table1[[#This Row],[Male%(0-2)3]]</f>
        <v>0</v>
      </c>
      <c r="CW176" s="1">
        <f>$CT176*Table1[[#This Row],[Female% (0-2)]]</f>
        <v>0</v>
      </c>
      <c r="CX176" s="1">
        <f>$CU176*Table1[[#This Row],[Male%(0-2)]]</f>
        <v>0</v>
      </c>
      <c r="CY176" s="1">
        <f>Table1[[#This Row],[Female%  (3-5)5]]+Table1[[#This Row],[Male% (3-5)6]]</f>
        <v>0</v>
      </c>
      <c r="CZ176" s="1">
        <f>$AF176*Table1[[#This Row],[Female%  (3-5)]]</f>
        <v>0</v>
      </c>
      <c r="DA176" s="1">
        <f>$CU176*Table1[[#This Row],[Male% (3-5)]]</f>
        <v>0</v>
      </c>
      <c r="DB176" s="1">
        <f>Table1[[#This Row],[Female% (6-8)8]]+Table1[[#This Row],[Male%(6-8)9]]</f>
        <v>0</v>
      </c>
      <c r="DC176" s="1">
        <f>$CT176*Table1[[#This Row],[Female% (6-8)]]</f>
        <v>0</v>
      </c>
      <c r="DD176" s="1">
        <f>$CU176*Table1[[#This Row],[Male%(6-8)]]</f>
        <v>0</v>
      </c>
      <c r="DE176" s="1">
        <f>Table1[[#This Row],[Female% (9 - 11)11]]+Table1[[#This Row],[Male% (9 - 11)12]]</f>
        <v>0</v>
      </c>
      <c r="DF176" s="1">
        <f>$CT176*Table1[[#This Row],[Female% (9 - 11)]]</f>
        <v>0</v>
      </c>
      <c r="DG176" s="1">
        <f>$CU176*Table1[[#This Row],[Male% (9 - 11)]]</f>
        <v>0</v>
      </c>
      <c r="DH176" s="1">
        <f>Table1[[#This Row],[Female% (12-14)14]]+Table1[[#This Row],[Male%(12-14)15]]</f>
        <v>0</v>
      </c>
      <c r="DI176" s="1">
        <f>$CT176*Table1[[#This Row],[Female% (12-14)]]</f>
        <v>0</v>
      </c>
      <c r="DJ176" s="1">
        <f>$CU176*Table1[[#This Row],[Male%(12-14)]]</f>
        <v>0</v>
      </c>
      <c r="DK176" s="1">
        <f>Table1[[#This Row],[Female% (15-17)17]]+Table1[[#This Row],[Male%(15-17)18]]</f>
        <v>0</v>
      </c>
      <c r="DL176" s="1">
        <f>$CT176*Table1[[#This Row],[Female% (15-17)]]</f>
        <v>0</v>
      </c>
      <c r="DM176" s="1">
        <f>$CU176*Table1[[#This Row],[Male%(15-17)]]</f>
        <v>0</v>
      </c>
      <c r="DN176" s="1">
        <f>$AF176*Table1[[#This Row],[Total% (18-19)]]</f>
        <v>0</v>
      </c>
      <c r="DO176" s="1">
        <f>$CT176*Table1[[#This Row],[Female% (18-19)]]</f>
        <v>0</v>
      </c>
      <c r="DP176" s="1">
        <f>$CU176*Table1[[#This Row],[Male%(18-19)]]</f>
        <v>0</v>
      </c>
      <c r="DQ176" s="1">
        <f>$AF176*Table1[[#This Row],[Total% (20-24)]]</f>
        <v>0</v>
      </c>
      <c r="DR176" s="1">
        <f>$CT176*Table1[[#This Row],[Female% (20-24)]]</f>
        <v>0</v>
      </c>
      <c r="DS176" s="1">
        <f>$CU176*Table1[[#This Row],[Male% (20-24)]]</f>
        <v>0</v>
      </c>
      <c r="DT176" s="1">
        <f>$AF176*Table1[[#This Row],[Total% (25-29)]]</f>
        <v>0</v>
      </c>
      <c r="DU176" s="1">
        <f>$CT176*Table1[[#This Row],[Female% (25-29)]]</f>
        <v>0</v>
      </c>
      <c r="DV176" s="1">
        <f>$CU176*Table1[[#This Row],[Male% (25-29)]]</f>
        <v>0</v>
      </c>
      <c r="DW176" s="1">
        <f>$AF176*Table1[[#This Row],[Total%   (30-34)]]</f>
        <v>0</v>
      </c>
      <c r="DX176" s="1">
        <f>$CT176*Table1[[#This Row],[Female%   (30-34)]]</f>
        <v>0</v>
      </c>
      <c r="DY176" s="1">
        <f>$CU176*Table1[[#This Row],[Male%  (30-34)]]</f>
        <v>0</v>
      </c>
      <c r="DZ176" s="1">
        <f>$AF176*Table1[[#This Row],[Total% (35-39)]]</f>
        <v>0</v>
      </c>
      <c r="EA176" s="1">
        <f>$CT176*Table1[[#This Row],[Female% (35-39)]]</f>
        <v>0</v>
      </c>
      <c r="EB176" s="1">
        <f>$CU176*Table1[[#This Row],[Male% (35-39)]]</f>
        <v>0</v>
      </c>
      <c r="EC176" s="1">
        <f>$AF176*Table1[[#This Row],[Total% (40-44)]]</f>
        <v>0</v>
      </c>
      <c r="ED176" s="1">
        <f>$CT176*Table1[[#This Row],[Female% (40-44)]]</f>
        <v>0</v>
      </c>
      <c r="EE176" s="1">
        <f>$CU176*Table1[[#This Row],[Male%(55-59)]]</f>
        <v>0</v>
      </c>
      <c r="EF176" s="1">
        <f>$AF176*Table1[[#This Row],[Total% (45-49)]]</f>
        <v>0</v>
      </c>
      <c r="EG176" s="1">
        <f>$CT176*Table1[[#This Row],[Female% (45-49)]]</f>
        <v>0</v>
      </c>
      <c r="EH176" s="1">
        <f>$CU176*Table1[[#This Row],[Male% (45-49)]]</f>
        <v>0</v>
      </c>
      <c r="EI176" s="1">
        <f>$AF176*Table1[[#This Row],[Total% (50-54)]]</f>
        <v>0</v>
      </c>
      <c r="EJ176" s="1">
        <f>$CT176*Table1[[#This Row],[Female%(50-54)]]</f>
        <v>0</v>
      </c>
      <c r="EK176" s="1">
        <f>$CU176*Table1[[#This Row],[Male% (50-54)]]</f>
        <v>0</v>
      </c>
      <c r="EL176" s="1">
        <f>$AF176*Table1[[#This Row],[Total% (55-59)]]</f>
        <v>0</v>
      </c>
      <c r="EM176" s="1">
        <f>$CT176*Table1[[#This Row],[Female% (55-59)]]</f>
        <v>0</v>
      </c>
      <c r="EN176" s="1">
        <f>$CU176*Table1[[#This Row],[Male% (55-59)]]</f>
        <v>0</v>
      </c>
      <c r="EO176" s="1">
        <f>$AF176*Table1[[#This Row],[Total% (60-64)]]</f>
        <v>0</v>
      </c>
      <c r="EP176" s="1">
        <f>$CT176*Table1[[#This Row],[Female%(60-64)]]</f>
        <v>0</v>
      </c>
      <c r="EQ176" s="1">
        <f>$CU176*Table1[[#This Row],[Male%(60-64)]]</f>
        <v>0</v>
      </c>
      <c r="ER176" s="1">
        <f>$AF176*Table1[[#This Row],[Total% (&gt;=65)]]</f>
        <v>0</v>
      </c>
      <c r="ES176" s="1">
        <f>$CT176*Table1[[#This Row],[Female%(&gt;=65)]]</f>
        <v>0</v>
      </c>
      <c r="ET176" s="1">
        <f>$CU176*Table1[[#This Row],[Male% (&gt;=65)]]</f>
        <v>0</v>
      </c>
    </row>
    <row r="177" spans="1:150" hidden="1" x14ac:dyDescent="0.35">
      <c r="A177" t="s">
        <v>184</v>
      </c>
      <c r="B177" t="s">
        <v>185</v>
      </c>
      <c r="C177" t="s">
        <v>184</v>
      </c>
      <c r="D177" t="s">
        <v>186</v>
      </c>
      <c r="E177" t="s">
        <v>526</v>
      </c>
      <c r="F177" t="s">
        <v>527</v>
      </c>
      <c r="H177">
        <v>3</v>
      </c>
      <c r="I177" s="1">
        <v>0</v>
      </c>
      <c r="J177" s="1">
        <v>0</v>
      </c>
      <c r="K177" s="1">
        <v>7825</v>
      </c>
      <c r="L177" s="1">
        <v>1091</v>
      </c>
      <c r="M177" s="1">
        <v>0</v>
      </c>
      <c r="N177" s="1">
        <v>8916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1">
        <v>8916</v>
      </c>
      <c r="U177" s="1">
        <v>0</v>
      </c>
      <c r="V177" s="10">
        <f>Table1[[#This Row],[Pop NW+RATAA]]*Table1[[#This Row],[Perc_pop_Northern_Aleppo]]</f>
        <v>0</v>
      </c>
      <c r="W177" s="10">
        <f>Table1[[#This Row],[Pop NW+RATAA]]*Table1[[#This Row],[Perc_pop_Afrin District]]</f>
        <v>0</v>
      </c>
      <c r="X177" s="10">
        <f>Table1[[#This Row],[Pop NW+RATAA]]*Table1[[#This Row],[Perc_pop_Euphrates Shiled]]</f>
        <v>0</v>
      </c>
      <c r="Y177" s="10">
        <f>Table1[[#This Row],[Pop NW+RATAA]]*Table1[[#This Row],[Perc_Pop_Idleb_NSAG]]</f>
        <v>0</v>
      </c>
      <c r="Z177" s="3">
        <v>0</v>
      </c>
      <c r="AA177" s="3">
        <v>0</v>
      </c>
      <c r="AB177" s="3">
        <v>0</v>
      </c>
      <c r="AC177" s="3">
        <v>0</v>
      </c>
      <c r="AD177" s="1">
        <v>0</v>
      </c>
      <c r="AE177" s="1">
        <v>8916</v>
      </c>
      <c r="AF177" s="1">
        <v>0</v>
      </c>
      <c r="AG177" s="1">
        <v>0</v>
      </c>
      <c r="AH177" s="1">
        <v>0</v>
      </c>
      <c r="AI177" s="1">
        <f>Table1[[#This Row],[NWS_pin]]*Table1[[#This Row],[Perc_pop_Northern_Aleppo]]</f>
        <v>0</v>
      </c>
      <c r="AJ177" s="1">
        <f>Table1[[#This Row],[NWS_pin]]*Table1[[#This Row],[Perc_pop_Afrin District]]</f>
        <v>0</v>
      </c>
      <c r="AK177" s="1">
        <f>Table1[[#This Row],[NWS_pin]]*Table1[[#This Row],[Perc_pop_Euphrates Shiled]]</f>
        <v>0</v>
      </c>
      <c r="AL177" s="1">
        <f>Table1[[#This Row],[NWS_pin]]*Table1[[#This Row],[Perc_Pop_Idleb_NSAG]]</f>
        <v>0</v>
      </c>
      <c r="AM177" s="4">
        <v>0.51419540255585805</v>
      </c>
      <c r="AN177" s="4">
        <v>0.48580459744414201</v>
      </c>
      <c r="AO177" s="4">
        <v>0.12043500041746701</v>
      </c>
      <c r="AP177" s="4">
        <v>0.322397688331093</v>
      </c>
      <c r="AQ177" s="4">
        <v>0.62217719550391504</v>
      </c>
      <c r="AR177" s="4">
        <v>6.0588096356932802E-3</v>
      </c>
      <c r="AS177" s="4">
        <v>0</v>
      </c>
      <c r="AT177" s="4">
        <v>4.9366306529298798E-2</v>
      </c>
      <c r="AU177" s="4">
        <v>7.1970207563655297E-2</v>
      </c>
      <c r="AV177" s="4">
        <v>6.1789554921138301E-2</v>
      </c>
      <c r="AW177" s="4">
        <v>8.2745825602968504E-2</v>
      </c>
      <c r="AX177" s="4">
        <v>9.1148300548748604E-2</v>
      </c>
      <c r="AY177" s="4">
        <v>9.74112284670237E-2</v>
      </c>
      <c r="AZ177" s="4">
        <v>8.4519362166818102E-2</v>
      </c>
      <c r="BA177" s="4">
        <v>8.6504305725116304E-2</v>
      </c>
      <c r="BB177" s="4">
        <v>7.4241931352485593E-2</v>
      </c>
      <c r="BC177" s="4">
        <v>9.9483302959802802E-2</v>
      </c>
      <c r="BD177" s="4">
        <v>7.1836475504354097E-2</v>
      </c>
      <c r="BE177" s="4">
        <v>4.33942623733274E-2</v>
      </c>
      <c r="BF177" s="4">
        <v>0.10194087407824599</v>
      </c>
      <c r="BG177" s="4">
        <v>4.4842403795435103E-2</v>
      </c>
      <c r="BH177" s="4">
        <v>6.5518683016657406E-2</v>
      </c>
      <c r="BI177" s="4">
        <v>2.2957786454537801E-2</v>
      </c>
      <c r="BJ177" s="4">
        <v>3.62851491186994E-2</v>
      </c>
      <c r="BK177" s="4">
        <v>4.1782841703699503E-2</v>
      </c>
      <c r="BL177" s="4">
        <v>3.0466167028482399E-2</v>
      </c>
      <c r="BM177" s="4">
        <v>2.0687902380707501E-2</v>
      </c>
      <c r="BN177" s="4">
        <v>5.66875510816418E-3</v>
      </c>
      <c r="BO177" s="4">
        <v>3.65847805051248E-2</v>
      </c>
      <c r="BP177" s="4">
        <v>3.1956106071669703E-2</v>
      </c>
      <c r="BQ177" s="4">
        <v>4.7677717522636401E-2</v>
      </c>
      <c r="BR177" s="4">
        <v>1.5315711206353401E-2</v>
      </c>
      <c r="BS177" s="4">
        <v>8.2146301595180701E-2</v>
      </c>
      <c r="BT177" s="4">
        <v>9.6602412078490393E-2</v>
      </c>
      <c r="BU177" s="4">
        <v>6.6845364575513905E-2</v>
      </c>
      <c r="BV177" s="4">
        <v>7.4602045972737799E-2</v>
      </c>
      <c r="BW177" s="4">
        <v>8.7835264850094602E-2</v>
      </c>
      <c r="BX177" s="4">
        <v>6.0595467312200099E-2</v>
      </c>
      <c r="BY177" s="4">
        <v>0.125221546960502</v>
      </c>
      <c r="BZ177" s="4">
        <v>9.1972735474591505E-2</v>
      </c>
      <c r="CA177" s="4">
        <v>0.16041344530079699</v>
      </c>
      <c r="CB177" s="4">
        <v>5.2100668724181197E-2</v>
      </c>
      <c r="CC177" s="4">
        <v>7.6615991745351594E-2</v>
      </c>
      <c r="CD177" s="4">
        <v>2.6152650825674199E-2</v>
      </c>
      <c r="CE177" s="4">
        <v>3.9860778111895E-2</v>
      </c>
      <c r="CF177" s="4">
        <v>2.50008334577481E-2</v>
      </c>
      <c r="CG177" s="4">
        <v>5.5589149690913199E-2</v>
      </c>
      <c r="CH177" s="4">
        <v>3.9995574916891298E-2</v>
      </c>
      <c r="CI177" s="4">
        <v>3.9729118984428102E-2</v>
      </c>
      <c r="CJ177" s="4">
        <v>4.0277602744905099E-2</v>
      </c>
      <c r="CK177" s="4">
        <v>2.6721390336410699E-2</v>
      </c>
      <c r="CL177" s="4">
        <v>2.7102596474546201E-2</v>
      </c>
      <c r="CM177" s="4">
        <v>2.6317906209898399E-2</v>
      </c>
      <c r="CN177" s="4">
        <v>5.0433170491126701E-2</v>
      </c>
      <c r="CO177" s="4">
        <v>5.4697605998742301E-2</v>
      </c>
      <c r="CP177" s="4">
        <v>4.5919517997823601E-2</v>
      </c>
      <c r="CQ177" s="4">
        <v>5.3687672182688197E-2</v>
      </c>
      <c r="CR177" s="4">
        <v>6.2958466470874899E-2</v>
      </c>
      <c r="CS177" s="4">
        <v>4.3875085339940598E-2</v>
      </c>
      <c r="CT177" s="1">
        <f>Table1[[#This Row],[Female %]]*Table1[[#This Row],[NWS_pin]]</f>
        <v>0</v>
      </c>
      <c r="CU177" s="1">
        <f>Table1[[#This Row],[Male %]]*Table1[[#This Row],[NWS_pin]]</f>
        <v>0</v>
      </c>
      <c r="CV177" s="1">
        <f>Table1[[#This Row],[Female% (0-2)22]]+Table1[[#This Row],[Male%(0-2)3]]</f>
        <v>0</v>
      </c>
      <c r="CW177" s="1">
        <f>$CT177*Table1[[#This Row],[Female% (0-2)]]</f>
        <v>0</v>
      </c>
      <c r="CX177" s="1">
        <f>$CU177*Table1[[#This Row],[Male%(0-2)]]</f>
        <v>0</v>
      </c>
      <c r="CY177" s="1">
        <f>Table1[[#This Row],[Female%  (3-5)5]]+Table1[[#This Row],[Male% (3-5)6]]</f>
        <v>0</v>
      </c>
      <c r="CZ177" s="1">
        <f>$AF177*Table1[[#This Row],[Female%  (3-5)]]</f>
        <v>0</v>
      </c>
      <c r="DA177" s="1">
        <f>$CU177*Table1[[#This Row],[Male% (3-5)]]</f>
        <v>0</v>
      </c>
      <c r="DB177" s="1">
        <f>Table1[[#This Row],[Female% (6-8)8]]+Table1[[#This Row],[Male%(6-8)9]]</f>
        <v>0</v>
      </c>
      <c r="DC177" s="1">
        <f>$CT177*Table1[[#This Row],[Female% (6-8)]]</f>
        <v>0</v>
      </c>
      <c r="DD177" s="1">
        <f>$CU177*Table1[[#This Row],[Male%(6-8)]]</f>
        <v>0</v>
      </c>
      <c r="DE177" s="1">
        <f>Table1[[#This Row],[Female% (9 - 11)11]]+Table1[[#This Row],[Male% (9 - 11)12]]</f>
        <v>0</v>
      </c>
      <c r="DF177" s="1">
        <f>$CT177*Table1[[#This Row],[Female% (9 - 11)]]</f>
        <v>0</v>
      </c>
      <c r="DG177" s="1">
        <f>$CU177*Table1[[#This Row],[Male% (9 - 11)]]</f>
        <v>0</v>
      </c>
      <c r="DH177" s="1">
        <f>Table1[[#This Row],[Female% (12-14)14]]+Table1[[#This Row],[Male%(12-14)15]]</f>
        <v>0</v>
      </c>
      <c r="DI177" s="1">
        <f>$CT177*Table1[[#This Row],[Female% (12-14)]]</f>
        <v>0</v>
      </c>
      <c r="DJ177" s="1">
        <f>$CU177*Table1[[#This Row],[Male%(12-14)]]</f>
        <v>0</v>
      </c>
      <c r="DK177" s="1">
        <f>Table1[[#This Row],[Female% (15-17)17]]+Table1[[#This Row],[Male%(15-17)18]]</f>
        <v>0</v>
      </c>
      <c r="DL177" s="1">
        <f>$CT177*Table1[[#This Row],[Female% (15-17)]]</f>
        <v>0</v>
      </c>
      <c r="DM177" s="1">
        <f>$CU177*Table1[[#This Row],[Male%(15-17)]]</f>
        <v>0</v>
      </c>
      <c r="DN177" s="1">
        <f>$AF177*Table1[[#This Row],[Total% (18-19)]]</f>
        <v>0</v>
      </c>
      <c r="DO177" s="1">
        <f>$CT177*Table1[[#This Row],[Female% (18-19)]]</f>
        <v>0</v>
      </c>
      <c r="DP177" s="1">
        <f>$CU177*Table1[[#This Row],[Male%(18-19)]]</f>
        <v>0</v>
      </c>
      <c r="DQ177" s="1">
        <f>$AF177*Table1[[#This Row],[Total% (20-24)]]</f>
        <v>0</v>
      </c>
      <c r="DR177" s="1">
        <f>$CT177*Table1[[#This Row],[Female% (20-24)]]</f>
        <v>0</v>
      </c>
      <c r="DS177" s="1">
        <f>$CU177*Table1[[#This Row],[Male% (20-24)]]</f>
        <v>0</v>
      </c>
      <c r="DT177" s="1">
        <f>$AF177*Table1[[#This Row],[Total% (25-29)]]</f>
        <v>0</v>
      </c>
      <c r="DU177" s="1">
        <f>$CT177*Table1[[#This Row],[Female% (25-29)]]</f>
        <v>0</v>
      </c>
      <c r="DV177" s="1">
        <f>$CU177*Table1[[#This Row],[Male% (25-29)]]</f>
        <v>0</v>
      </c>
      <c r="DW177" s="1">
        <f>$AF177*Table1[[#This Row],[Total%   (30-34)]]</f>
        <v>0</v>
      </c>
      <c r="DX177" s="1">
        <f>$CT177*Table1[[#This Row],[Female%   (30-34)]]</f>
        <v>0</v>
      </c>
      <c r="DY177" s="1">
        <f>$CU177*Table1[[#This Row],[Male%  (30-34)]]</f>
        <v>0</v>
      </c>
      <c r="DZ177" s="1">
        <f>$AF177*Table1[[#This Row],[Total% (35-39)]]</f>
        <v>0</v>
      </c>
      <c r="EA177" s="1">
        <f>$CT177*Table1[[#This Row],[Female% (35-39)]]</f>
        <v>0</v>
      </c>
      <c r="EB177" s="1">
        <f>$CU177*Table1[[#This Row],[Male% (35-39)]]</f>
        <v>0</v>
      </c>
      <c r="EC177" s="1">
        <f>$AF177*Table1[[#This Row],[Total% (40-44)]]</f>
        <v>0</v>
      </c>
      <c r="ED177" s="1">
        <f>$CT177*Table1[[#This Row],[Female% (40-44)]]</f>
        <v>0</v>
      </c>
      <c r="EE177" s="1">
        <f>$CU177*Table1[[#This Row],[Male%(55-59)]]</f>
        <v>0</v>
      </c>
      <c r="EF177" s="1">
        <f>$AF177*Table1[[#This Row],[Total% (45-49)]]</f>
        <v>0</v>
      </c>
      <c r="EG177" s="1">
        <f>$CT177*Table1[[#This Row],[Female% (45-49)]]</f>
        <v>0</v>
      </c>
      <c r="EH177" s="1">
        <f>$CU177*Table1[[#This Row],[Male% (45-49)]]</f>
        <v>0</v>
      </c>
      <c r="EI177" s="1">
        <f>$AF177*Table1[[#This Row],[Total% (50-54)]]</f>
        <v>0</v>
      </c>
      <c r="EJ177" s="1">
        <f>$CT177*Table1[[#This Row],[Female%(50-54)]]</f>
        <v>0</v>
      </c>
      <c r="EK177" s="1">
        <f>$CU177*Table1[[#This Row],[Male% (50-54)]]</f>
        <v>0</v>
      </c>
      <c r="EL177" s="1">
        <f>$AF177*Table1[[#This Row],[Total% (55-59)]]</f>
        <v>0</v>
      </c>
      <c r="EM177" s="1">
        <f>$CT177*Table1[[#This Row],[Female% (55-59)]]</f>
        <v>0</v>
      </c>
      <c r="EN177" s="1">
        <f>$CU177*Table1[[#This Row],[Male% (55-59)]]</f>
        <v>0</v>
      </c>
      <c r="EO177" s="1">
        <f>$AF177*Table1[[#This Row],[Total% (60-64)]]</f>
        <v>0</v>
      </c>
      <c r="EP177" s="1">
        <f>$CT177*Table1[[#This Row],[Female%(60-64)]]</f>
        <v>0</v>
      </c>
      <c r="EQ177" s="1">
        <f>$CU177*Table1[[#This Row],[Male%(60-64)]]</f>
        <v>0</v>
      </c>
      <c r="ER177" s="1">
        <f>$AF177*Table1[[#This Row],[Total% (&gt;=65)]]</f>
        <v>0</v>
      </c>
      <c r="ES177" s="1">
        <f>$CT177*Table1[[#This Row],[Female%(&gt;=65)]]</f>
        <v>0</v>
      </c>
      <c r="ET177" s="1">
        <f>$CU177*Table1[[#This Row],[Male% (&gt;=65)]]</f>
        <v>0</v>
      </c>
    </row>
    <row r="178" spans="1:150" hidden="1" x14ac:dyDescent="0.35">
      <c r="A178" t="s">
        <v>184</v>
      </c>
      <c r="B178" t="s">
        <v>185</v>
      </c>
      <c r="C178" t="s">
        <v>184</v>
      </c>
      <c r="D178" t="s">
        <v>186</v>
      </c>
      <c r="E178" t="s">
        <v>259</v>
      </c>
      <c r="F178" t="s">
        <v>260</v>
      </c>
      <c r="H178">
        <v>4</v>
      </c>
      <c r="I178" s="1">
        <v>0</v>
      </c>
      <c r="J178" s="1">
        <v>0</v>
      </c>
      <c r="K178" s="1">
        <v>1458</v>
      </c>
      <c r="L178" s="1">
        <v>41606</v>
      </c>
      <c r="M178" s="1">
        <v>0</v>
      </c>
      <c r="N178" s="1">
        <v>43064</v>
      </c>
      <c r="O178" s="3">
        <v>0</v>
      </c>
      <c r="P178" s="3">
        <v>1</v>
      </c>
      <c r="Q178" s="3">
        <v>0</v>
      </c>
      <c r="R178" s="3">
        <v>0</v>
      </c>
      <c r="S178" s="3">
        <v>0</v>
      </c>
      <c r="T178" s="1">
        <v>43064</v>
      </c>
      <c r="U178" s="1">
        <v>0</v>
      </c>
      <c r="V178" s="10">
        <f>Table1[[#This Row],[Pop NW+RATAA]]*Table1[[#This Row],[Perc_pop_Northern_Aleppo]]</f>
        <v>0</v>
      </c>
      <c r="W178" s="10">
        <f>Table1[[#This Row],[Pop NW+RATAA]]*Table1[[#This Row],[Perc_pop_Afrin District]]</f>
        <v>0</v>
      </c>
      <c r="X178" s="10">
        <f>Table1[[#This Row],[Pop NW+RATAA]]*Table1[[#This Row],[Perc_pop_Euphrates Shiled]]</f>
        <v>0</v>
      </c>
      <c r="Y178" s="10">
        <f>Table1[[#This Row],[Pop NW+RATAA]]*Table1[[#This Row],[Perc_Pop_Idleb_NSAG]]</f>
        <v>0</v>
      </c>
      <c r="Z178" s="3">
        <v>0</v>
      </c>
      <c r="AA178" s="3">
        <v>0</v>
      </c>
      <c r="AB178" s="3">
        <v>0</v>
      </c>
      <c r="AC178" s="3">
        <v>0</v>
      </c>
      <c r="AD178" s="1">
        <v>0</v>
      </c>
      <c r="AE178" s="1">
        <v>43064</v>
      </c>
      <c r="AF178" s="1">
        <v>0</v>
      </c>
      <c r="AG178" s="1">
        <v>0</v>
      </c>
      <c r="AH178" s="1">
        <v>0</v>
      </c>
      <c r="AI178" s="1">
        <f>Table1[[#This Row],[NWS_pin]]*Table1[[#This Row],[Perc_pop_Northern_Aleppo]]</f>
        <v>0</v>
      </c>
      <c r="AJ178" s="1">
        <f>Table1[[#This Row],[NWS_pin]]*Table1[[#This Row],[Perc_pop_Afrin District]]</f>
        <v>0</v>
      </c>
      <c r="AK178" s="1">
        <f>Table1[[#This Row],[NWS_pin]]*Table1[[#This Row],[Perc_pop_Euphrates Shiled]]</f>
        <v>0</v>
      </c>
      <c r="AL178" s="1">
        <f>Table1[[#This Row],[NWS_pin]]*Table1[[#This Row],[Perc_Pop_Idleb_NSAG]]</f>
        <v>0</v>
      </c>
      <c r="AM178" s="4">
        <v>0.50917280056499803</v>
      </c>
      <c r="AN178" s="4">
        <v>0.49082719943500203</v>
      </c>
      <c r="AO178" s="4">
        <v>5.6777883025483797E-2</v>
      </c>
      <c r="AP178" s="4">
        <v>0.48063043561447399</v>
      </c>
      <c r="AQ178" s="4">
        <v>0.46397114324231398</v>
      </c>
      <c r="AR178" s="4">
        <v>1.3505320159424E-2</v>
      </c>
      <c r="AS178" s="4">
        <v>0</v>
      </c>
      <c r="AT178" s="4">
        <v>4.1893100983787498E-2</v>
      </c>
      <c r="AU178" s="4">
        <v>6.8753463453083502E-2</v>
      </c>
      <c r="AV178" s="4">
        <v>8.4685474342718503E-2</v>
      </c>
      <c r="AW178" s="4">
        <v>5.2225963321376197E-2</v>
      </c>
      <c r="AX178" s="4">
        <v>0.13690024815975399</v>
      </c>
      <c r="AY178" s="4">
        <v>0.16337989563819499</v>
      </c>
      <c r="AZ178" s="4">
        <v>0.109430873438687</v>
      </c>
      <c r="BA178" s="4">
        <v>0.161214724704382</v>
      </c>
      <c r="BB178" s="4">
        <v>0.137829198633067</v>
      </c>
      <c r="BC178" s="4">
        <v>0.18547432933942201</v>
      </c>
      <c r="BD178" s="4">
        <v>0.11439405254386099</v>
      </c>
      <c r="BE178" s="4">
        <v>0.113581349647422</v>
      </c>
      <c r="BF178" s="4">
        <v>0.115237131758466</v>
      </c>
      <c r="BG178" s="4">
        <v>8.2464787809541598E-2</v>
      </c>
      <c r="BH178" s="4">
        <v>6.2347946246159899E-2</v>
      </c>
      <c r="BI178" s="4">
        <v>0.103333534629482</v>
      </c>
      <c r="BJ178" s="4">
        <v>4.7979222154437597E-2</v>
      </c>
      <c r="BK178" s="4">
        <v>3.35501507310033E-2</v>
      </c>
      <c r="BL178" s="4">
        <v>6.29476075957488E-2</v>
      </c>
      <c r="BM178" s="4">
        <v>1.34336372176223E-2</v>
      </c>
      <c r="BN178" s="4">
        <v>4.8788559314088698E-3</v>
      </c>
      <c r="BO178" s="4">
        <v>2.2308169742992701E-2</v>
      </c>
      <c r="BP178" s="4">
        <v>2.0137515385144401E-2</v>
      </c>
      <c r="BQ178" s="4">
        <v>6.1085623155797799E-3</v>
      </c>
      <c r="BR178" s="4">
        <v>3.4690827287271603E-2</v>
      </c>
      <c r="BS178" s="4">
        <v>2.4930165077652399E-2</v>
      </c>
      <c r="BT178" s="4">
        <v>4.3613139880900799E-2</v>
      </c>
      <c r="BU178" s="4">
        <v>5.5488785181347098E-3</v>
      </c>
      <c r="BV178" s="4">
        <v>7.9041538411603704E-2</v>
      </c>
      <c r="BW178" s="4">
        <v>7.9631903930894102E-2</v>
      </c>
      <c r="BX178" s="4">
        <v>7.8429106856954506E-2</v>
      </c>
      <c r="BY178" s="4">
        <v>8.5681161196658001E-2</v>
      </c>
      <c r="BZ178" s="4">
        <v>0.101877155714898</v>
      </c>
      <c r="CA178" s="4">
        <v>6.8879810545593501E-2</v>
      </c>
      <c r="CB178" s="4">
        <v>8.4494077302796206E-2</v>
      </c>
      <c r="CC178" s="4">
        <v>8.3004090851392695E-2</v>
      </c>
      <c r="CD178" s="4">
        <v>8.6039754834804097E-2</v>
      </c>
      <c r="CE178" s="4">
        <v>2.7060873141387699E-2</v>
      </c>
      <c r="CF178" s="4">
        <v>2.70056523397799E-2</v>
      </c>
      <c r="CG178" s="4">
        <v>2.71181579255978E-2</v>
      </c>
      <c r="CH178" s="4">
        <v>2.30342926860563E-2</v>
      </c>
      <c r="CI178" s="4">
        <v>2.688317943607E-2</v>
      </c>
      <c r="CJ178" s="4">
        <v>1.9041546465354001E-2</v>
      </c>
      <c r="CK178" s="4">
        <v>1.25447402579754E-2</v>
      </c>
      <c r="CL178" s="4">
        <v>0</v>
      </c>
      <c r="CM178" s="4">
        <v>2.5558364068690099E-2</v>
      </c>
      <c r="CN178" s="4">
        <v>1.0982374839699299E-2</v>
      </c>
      <c r="CO178" s="4">
        <v>2.1569052446463802E-2</v>
      </c>
      <c r="CP178" s="4">
        <v>0</v>
      </c>
      <c r="CQ178" s="4">
        <v>6.9531256583453896E-3</v>
      </c>
      <c r="CR178" s="4">
        <v>1.0054391914046E-2</v>
      </c>
      <c r="CS178" s="4">
        <v>3.7359436714251202E-3</v>
      </c>
      <c r="CT178" s="1">
        <f>Table1[[#This Row],[Female %]]*Table1[[#This Row],[NWS_pin]]</f>
        <v>0</v>
      </c>
      <c r="CU178" s="1">
        <f>Table1[[#This Row],[Male %]]*Table1[[#This Row],[NWS_pin]]</f>
        <v>0</v>
      </c>
      <c r="CV178" s="1">
        <f>Table1[[#This Row],[Female% (0-2)22]]+Table1[[#This Row],[Male%(0-2)3]]</f>
        <v>0</v>
      </c>
      <c r="CW178" s="1">
        <f>$CT178*Table1[[#This Row],[Female% (0-2)]]</f>
        <v>0</v>
      </c>
      <c r="CX178" s="1">
        <f>$CU178*Table1[[#This Row],[Male%(0-2)]]</f>
        <v>0</v>
      </c>
      <c r="CY178" s="1">
        <f>Table1[[#This Row],[Female%  (3-5)5]]+Table1[[#This Row],[Male% (3-5)6]]</f>
        <v>0</v>
      </c>
      <c r="CZ178" s="1">
        <f>$AF178*Table1[[#This Row],[Female%  (3-5)]]</f>
        <v>0</v>
      </c>
      <c r="DA178" s="1">
        <f>$CU178*Table1[[#This Row],[Male% (3-5)]]</f>
        <v>0</v>
      </c>
      <c r="DB178" s="1">
        <f>Table1[[#This Row],[Female% (6-8)8]]+Table1[[#This Row],[Male%(6-8)9]]</f>
        <v>0</v>
      </c>
      <c r="DC178" s="1">
        <f>$CT178*Table1[[#This Row],[Female% (6-8)]]</f>
        <v>0</v>
      </c>
      <c r="DD178" s="1">
        <f>$CU178*Table1[[#This Row],[Male%(6-8)]]</f>
        <v>0</v>
      </c>
      <c r="DE178" s="1">
        <f>Table1[[#This Row],[Female% (9 - 11)11]]+Table1[[#This Row],[Male% (9 - 11)12]]</f>
        <v>0</v>
      </c>
      <c r="DF178" s="1">
        <f>$CT178*Table1[[#This Row],[Female% (9 - 11)]]</f>
        <v>0</v>
      </c>
      <c r="DG178" s="1">
        <f>$CU178*Table1[[#This Row],[Male% (9 - 11)]]</f>
        <v>0</v>
      </c>
      <c r="DH178" s="1">
        <f>Table1[[#This Row],[Female% (12-14)14]]+Table1[[#This Row],[Male%(12-14)15]]</f>
        <v>0</v>
      </c>
      <c r="DI178" s="1">
        <f>$CT178*Table1[[#This Row],[Female% (12-14)]]</f>
        <v>0</v>
      </c>
      <c r="DJ178" s="1">
        <f>$CU178*Table1[[#This Row],[Male%(12-14)]]</f>
        <v>0</v>
      </c>
      <c r="DK178" s="1">
        <f>Table1[[#This Row],[Female% (15-17)17]]+Table1[[#This Row],[Male%(15-17)18]]</f>
        <v>0</v>
      </c>
      <c r="DL178" s="1">
        <f>$CT178*Table1[[#This Row],[Female% (15-17)]]</f>
        <v>0</v>
      </c>
      <c r="DM178" s="1">
        <f>$CU178*Table1[[#This Row],[Male%(15-17)]]</f>
        <v>0</v>
      </c>
      <c r="DN178" s="1">
        <f>$AF178*Table1[[#This Row],[Total% (18-19)]]</f>
        <v>0</v>
      </c>
      <c r="DO178" s="1">
        <f>$CT178*Table1[[#This Row],[Female% (18-19)]]</f>
        <v>0</v>
      </c>
      <c r="DP178" s="1">
        <f>$CU178*Table1[[#This Row],[Male%(18-19)]]</f>
        <v>0</v>
      </c>
      <c r="DQ178" s="1">
        <f>$AF178*Table1[[#This Row],[Total% (20-24)]]</f>
        <v>0</v>
      </c>
      <c r="DR178" s="1">
        <f>$CT178*Table1[[#This Row],[Female% (20-24)]]</f>
        <v>0</v>
      </c>
      <c r="DS178" s="1">
        <f>$CU178*Table1[[#This Row],[Male% (20-24)]]</f>
        <v>0</v>
      </c>
      <c r="DT178" s="1">
        <f>$AF178*Table1[[#This Row],[Total% (25-29)]]</f>
        <v>0</v>
      </c>
      <c r="DU178" s="1">
        <f>$CT178*Table1[[#This Row],[Female% (25-29)]]</f>
        <v>0</v>
      </c>
      <c r="DV178" s="1">
        <f>$CU178*Table1[[#This Row],[Male% (25-29)]]</f>
        <v>0</v>
      </c>
      <c r="DW178" s="1">
        <f>$AF178*Table1[[#This Row],[Total%   (30-34)]]</f>
        <v>0</v>
      </c>
      <c r="DX178" s="1">
        <f>$CT178*Table1[[#This Row],[Female%   (30-34)]]</f>
        <v>0</v>
      </c>
      <c r="DY178" s="1">
        <f>$CU178*Table1[[#This Row],[Male%  (30-34)]]</f>
        <v>0</v>
      </c>
      <c r="DZ178" s="1">
        <f>$AF178*Table1[[#This Row],[Total% (35-39)]]</f>
        <v>0</v>
      </c>
      <c r="EA178" s="1">
        <f>$CT178*Table1[[#This Row],[Female% (35-39)]]</f>
        <v>0</v>
      </c>
      <c r="EB178" s="1">
        <f>$CU178*Table1[[#This Row],[Male% (35-39)]]</f>
        <v>0</v>
      </c>
      <c r="EC178" s="1">
        <f>$AF178*Table1[[#This Row],[Total% (40-44)]]</f>
        <v>0</v>
      </c>
      <c r="ED178" s="1">
        <f>$CT178*Table1[[#This Row],[Female% (40-44)]]</f>
        <v>0</v>
      </c>
      <c r="EE178" s="1">
        <f>$CU178*Table1[[#This Row],[Male%(55-59)]]</f>
        <v>0</v>
      </c>
      <c r="EF178" s="1">
        <f>$AF178*Table1[[#This Row],[Total% (45-49)]]</f>
        <v>0</v>
      </c>
      <c r="EG178" s="1">
        <f>$CT178*Table1[[#This Row],[Female% (45-49)]]</f>
        <v>0</v>
      </c>
      <c r="EH178" s="1">
        <f>$CU178*Table1[[#This Row],[Male% (45-49)]]</f>
        <v>0</v>
      </c>
      <c r="EI178" s="1">
        <f>$AF178*Table1[[#This Row],[Total% (50-54)]]</f>
        <v>0</v>
      </c>
      <c r="EJ178" s="1">
        <f>$CT178*Table1[[#This Row],[Female%(50-54)]]</f>
        <v>0</v>
      </c>
      <c r="EK178" s="1">
        <f>$CU178*Table1[[#This Row],[Male% (50-54)]]</f>
        <v>0</v>
      </c>
      <c r="EL178" s="1">
        <f>$AF178*Table1[[#This Row],[Total% (55-59)]]</f>
        <v>0</v>
      </c>
      <c r="EM178" s="1">
        <f>$CT178*Table1[[#This Row],[Female% (55-59)]]</f>
        <v>0</v>
      </c>
      <c r="EN178" s="1">
        <f>$CU178*Table1[[#This Row],[Male% (55-59)]]</f>
        <v>0</v>
      </c>
      <c r="EO178" s="1">
        <f>$AF178*Table1[[#This Row],[Total% (60-64)]]</f>
        <v>0</v>
      </c>
      <c r="EP178" s="1">
        <f>$CT178*Table1[[#This Row],[Female%(60-64)]]</f>
        <v>0</v>
      </c>
      <c r="EQ178" s="1">
        <f>$CU178*Table1[[#This Row],[Male%(60-64)]]</f>
        <v>0</v>
      </c>
      <c r="ER178" s="1">
        <f>$AF178*Table1[[#This Row],[Total% (&gt;=65)]]</f>
        <v>0</v>
      </c>
      <c r="ES178" s="1">
        <f>$CT178*Table1[[#This Row],[Female%(&gt;=65)]]</f>
        <v>0</v>
      </c>
      <c r="ET178" s="1">
        <f>$CU178*Table1[[#This Row],[Male% (&gt;=65)]]</f>
        <v>0</v>
      </c>
    </row>
    <row r="179" spans="1:150" hidden="1" x14ac:dyDescent="0.35">
      <c r="A179" t="s">
        <v>184</v>
      </c>
      <c r="B179" t="s">
        <v>185</v>
      </c>
      <c r="C179" t="s">
        <v>184</v>
      </c>
      <c r="D179" t="s">
        <v>186</v>
      </c>
      <c r="E179" t="s">
        <v>187</v>
      </c>
      <c r="F179" t="s">
        <v>188</v>
      </c>
      <c r="H179">
        <v>5</v>
      </c>
      <c r="I179" s="1">
        <v>0</v>
      </c>
      <c r="J179" s="1">
        <v>0</v>
      </c>
      <c r="K179" s="1">
        <v>0</v>
      </c>
      <c r="L179" s="1">
        <v>40663</v>
      </c>
      <c r="M179" s="1">
        <v>24518</v>
      </c>
      <c r="N179" s="1">
        <v>65181</v>
      </c>
      <c r="O179" s="3">
        <v>0</v>
      </c>
      <c r="P179" s="3">
        <v>1</v>
      </c>
      <c r="Q179" s="3">
        <v>0</v>
      </c>
      <c r="R179" s="3">
        <v>0</v>
      </c>
      <c r="S179" s="3">
        <v>0</v>
      </c>
      <c r="T179" s="1">
        <v>65181</v>
      </c>
      <c r="U179" s="1">
        <v>0</v>
      </c>
      <c r="V179" s="10">
        <f>Table1[[#This Row],[Pop NW+RATAA]]*Table1[[#This Row],[Perc_pop_Northern_Aleppo]]</f>
        <v>0</v>
      </c>
      <c r="W179" s="10">
        <f>Table1[[#This Row],[Pop NW+RATAA]]*Table1[[#This Row],[Perc_pop_Afrin District]]</f>
        <v>0</v>
      </c>
      <c r="X179" s="10">
        <f>Table1[[#This Row],[Pop NW+RATAA]]*Table1[[#This Row],[Perc_pop_Euphrates Shiled]]</f>
        <v>0</v>
      </c>
      <c r="Y179" s="10">
        <f>Table1[[#This Row],[Pop NW+RATAA]]*Table1[[#This Row],[Perc_Pop_Idleb_NSAG]]</f>
        <v>0</v>
      </c>
      <c r="Z179" s="3">
        <v>0</v>
      </c>
      <c r="AA179" s="3">
        <v>0</v>
      </c>
      <c r="AB179" s="3">
        <v>0</v>
      </c>
      <c r="AC179" s="3">
        <v>0</v>
      </c>
      <c r="AD179" s="1">
        <v>0</v>
      </c>
      <c r="AE179" s="1">
        <v>65181</v>
      </c>
      <c r="AF179" s="1">
        <v>0</v>
      </c>
      <c r="AG179" s="1">
        <v>0</v>
      </c>
      <c r="AH179" s="1">
        <v>0</v>
      </c>
      <c r="AI179" s="1">
        <f>Table1[[#This Row],[NWS_pin]]*Table1[[#This Row],[Perc_pop_Northern_Aleppo]]</f>
        <v>0</v>
      </c>
      <c r="AJ179" s="1">
        <f>Table1[[#This Row],[NWS_pin]]*Table1[[#This Row],[Perc_pop_Afrin District]]</f>
        <v>0</v>
      </c>
      <c r="AK179" s="1">
        <f>Table1[[#This Row],[NWS_pin]]*Table1[[#This Row],[Perc_pop_Euphrates Shiled]]</f>
        <v>0</v>
      </c>
      <c r="AL179" s="1">
        <f>Table1[[#This Row],[NWS_pin]]*Table1[[#This Row],[Perc_Pop_Idleb_NSAG]]</f>
        <v>0</v>
      </c>
      <c r="AM179" s="4">
        <v>0.52076419057581702</v>
      </c>
      <c r="AN179" s="4">
        <v>0.47923580942418298</v>
      </c>
      <c r="AO179" s="4">
        <v>0.19474358974358999</v>
      </c>
      <c r="AP179" s="4">
        <v>0.334446745303833</v>
      </c>
      <c r="AQ179" s="4">
        <v>0.540053973960409</v>
      </c>
      <c r="AR179" s="4">
        <v>3.8333030226379801E-2</v>
      </c>
      <c r="AS179" s="4">
        <v>0</v>
      </c>
      <c r="AT179" s="4">
        <v>8.7166250509378707E-2</v>
      </c>
      <c r="AU179" s="4">
        <v>3.4274263888763097E-2</v>
      </c>
      <c r="AV179" s="4">
        <v>4.0429286841945897E-2</v>
      </c>
      <c r="AW179" s="4">
        <v>2.75858748260988E-2</v>
      </c>
      <c r="AX179" s="4">
        <v>0.109714130042892</v>
      </c>
      <c r="AY179" s="4">
        <v>0.10647102419139901</v>
      </c>
      <c r="AZ179" s="4">
        <v>0.113238268599511</v>
      </c>
      <c r="BA179" s="4">
        <v>9.1778254927105604E-2</v>
      </c>
      <c r="BB179" s="4">
        <v>4.2364863028911799E-2</v>
      </c>
      <c r="BC179" s="4">
        <v>0.14547358513706499</v>
      </c>
      <c r="BD179" s="4">
        <v>7.9330408448847006E-2</v>
      </c>
      <c r="BE179" s="4">
        <v>5.9226836466559497E-2</v>
      </c>
      <c r="BF179" s="4">
        <v>0.101176063938611</v>
      </c>
      <c r="BG179" s="4">
        <v>5.7191938883084402E-2</v>
      </c>
      <c r="BH179" s="4">
        <v>3.0566810097154E-2</v>
      </c>
      <c r="BI179" s="4">
        <v>8.6124279431345305E-2</v>
      </c>
      <c r="BJ179" s="4">
        <v>2.20699576469119E-2</v>
      </c>
      <c r="BK179" s="4">
        <v>1.5832424895929599E-2</v>
      </c>
      <c r="BL179" s="4">
        <v>2.8848006428697101E-2</v>
      </c>
      <c r="BM179" s="4">
        <v>1.5611078445433101E-2</v>
      </c>
      <c r="BN179" s="4">
        <v>1.41535503096498E-2</v>
      </c>
      <c r="BO179" s="4">
        <v>1.7194909296438701E-2</v>
      </c>
      <c r="BP179" s="4">
        <v>5.6728907359520499E-2</v>
      </c>
      <c r="BQ179" s="4">
        <v>6.6607490476675996E-2</v>
      </c>
      <c r="BR179" s="4">
        <v>4.5994291456709198E-2</v>
      </c>
      <c r="BS179" s="4">
        <v>8.8919707893218902E-2</v>
      </c>
      <c r="BT179" s="4">
        <v>0.10845066156595599</v>
      </c>
      <c r="BU179" s="4">
        <v>6.7696291194084005E-2</v>
      </c>
      <c r="BV179" s="4">
        <v>0.116055652968405</v>
      </c>
      <c r="BW179" s="4">
        <v>0.15335923242045901</v>
      </c>
      <c r="BX179" s="4">
        <v>7.5519516108617402E-2</v>
      </c>
      <c r="BY179" s="4">
        <v>5.7541898154030602E-2</v>
      </c>
      <c r="BZ179" s="4">
        <v>6.7546361468260901E-2</v>
      </c>
      <c r="CA179" s="4">
        <v>4.6670493852585399E-2</v>
      </c>
      <c r="CB179" s="4">
        <v>9.0526249103559997E-2</v>
      </c>
      <c r="CC179" s="4">
        <v>0.117083475945334</v>
      </c>
      <c r="CD179" s="4">
        <v>6.1667694571059799E-2</v>
      </c>
      <c r="CE179" s="4">
        <v>4.0692899234545603E-2</v>
      </c>
      <c r="CF179" s="4">
        <v>3.7253204376354099E-2</v>
      </c>
      <c r="CG179" s="4">
        <v>4.4430662301137402E-2</v>
      </c>
      <c r="CH179" s="4">
        <v>6.8894073206234793E-2</v>
      </c>
      <c r="CI179" s="4">
        <v>6.0195870986848497E-2</v>
      </c>
      <c r="CJ179" s="4">
        <v>7.8346021806833199E-2</v>
      </c>
      <c r="CK179" s="4">
        <v>3.01449197470985E-2</v>
      </c>
      <c r="CL179" s="4">
        <v>3.11435317802689E-2</v>
      </c>
      <c r="CM179" s="4">
        <v>2.9059772567095202E-2</v>
      </c>
      <c r="CN179" s="4">
        <v>1.32374698726869E-2</v>
      </c>
      <c r="CO179" s="4">
        <v>1.27730703007154E-2</v>
      </c>
      <c r="CP179" s="4">
        <v>1.37421121853974E-2</v>
      </c>
      <c r="CQ179" s="4">
        <v>2.7288190177662701E-2</v>
      </c>
      <c r="CR179" s="4">
        <v>3.65423048475782E-2</v>
      </c>
      <c r="CS179" s="4">
        <v>1.7232156298715301E-2</v>
      </c>
      <c r="CT179" s="1">
        <f>Table1[[#This Row],[Female %]]*Table1[[#This Row],[NWS_pin]]</f>
        <v>0</v>
      </c>
      <c r="CU179" s="1">
        <f>Table1[[#This Row],[Male %]]*Table1[[#This Row],[NWS_pin]]</f>
        <v>0</v>
      </c>
      <c r="CV179" s="1">
        <f>Table1[[#This Row],[Female% (0-2)22]]+Table1[[#This Row],[Male%(0-2)3]]</f>
        <v>0</v>
      </c>
      <c r="CW179" s="1">
        <f>$CT179*Table1[[#This Row],[Female% (0-2)]]</f>
        <v>0</v>
      </c>
      <c r="CX179" s="1">
        <f>$CU179*Table1[[#This Row],[Male%(0-2)]]</f>
        <v>0</v>
      </c>
      <c r="CY179" s="1">
        <f>Table1[[#This Row],[Female%  (3-5)5]]+Table1[[#This Row],[Male% (3-5)6]]</f>
        <v>0</v>
      </c>
      <c r="CZ179" s="1">
        <f>$AF179*Table1[[#This Row],[Female%  (3-5)]]</f>
        <v>0</v>
      </c>
      <c r="DA179" s="1">
        <f>$CU179*Table1[[#This Row],[Male% (3-5)]]</f>
        <v>0</v>
      </c>
      <c r="DB179" s="1">
        <f>Table1[[#This Row],[Female% (6-8)8]]+Table1[[#This Row],[Male%(6-8)9]]</f>
        <v>0</v>
      </c>
      <c r="DC179" s="1">
        <f>$CT179*Table1[[#This Row],[Female% (6-8)]]</f>
        <v>0</v>
      </c>
      <c r="DD179" s="1">
        <f>$CU179*Table1[[#This Row],[Male%(6-8)]]</f>
        <v>0</v>
      </c>
      <c r="DE179" s="1">
        <f>Table1[[#This Row],[Female% (9 - 11)11]]+Table1[[#This Row],[Male% (9 - 11)12]]</f>
        <v>0</v>
      </c>
      <c r="DF179" s="1">
        <f>$CT179*Table1[[#This Row],[Female% (9 - 11)]]</f>
        <v>0</v>
      </c>
      <c r="DG179" s="1">
        <f>$CU179*Table1[[#This Row],[Male% (9 - 11)]]</f>
        <v>0</v>
      </c>
      <c r="DH179" s="1">
        <f>Table1[[#This Row],[Female% (12-14)14]]+Table1[[#This Row],[Male%(12-14)15]]</f>
        <v>0</v>
      </c>
      <c r="DI179" s="1">
        <f>$CT179*Table1[[#This Row],[Female% (12-14)]]</f>
        <v>0</v>
      </c>
      <c r="DJ179" s="1">
        <f>$CU179*Table1[[#This Row],[Male%(12-14)]]</f>
        <v>0</v>
      </c>
      <c r="DK179" s="1">
        <f>Table1[[#This Row],[Female% (15-17)17]]+Table1[[#This Row],[Male%(15-17)18]]</f>
        <v>0</v>
      </c>
      <c r="DL179" s="1">
        <f>$CT179*Table1[[#This Row],[Female% (15-17)]]</f>
        <v>0</v>
      </c>
      <c r="DM179" s="1">
        <f>$CU179*Table1[[#This Row],[Male%(15-17)]]</f>
        <v>0</v>
      </c>
      <c r="DN179" s="1">
        <f>$AF179*Table1[[#This Row],[Total% (18-19)]]</f>
        <v>0</v>
      </c>
      <c r="DO179" s="1">
        <f>$CT179*Table1[[#This Row],[Female% (18-19)]]</f>
        <v>0</v>
      </c>
      <c r="DP179" s="1">
        <f>$CU179*Table1[[#This Row],[Male%(18-19)]]</f>
        <v>0</v>
      </c>
      <c r="DQ179" s="1">
        <f>$AF179*Table1[[#This Row],[Total% (20-24)]]</f>
        <v>0</v>
      </c>
      <c r="DR179" s="1">
        <f>$CT179*Table1[[#This Row],[Female% (20-24)]]</f>
        <v>0</v>
      </c>
      <c r="DS179" s="1">
        <f>$CU179*Table1[[#This Row],[Male% (20-24)]]</f>
        <v>0</v>
      </c>
      <c r="DT179" s="1">
        <f>$AF179*Table1[[#This Row],[Total% (25-29)]]</f>
        <v>0</v>
      </c>
      <c r="DU179" s="1">
        <f>$CT179*Table1[[#This Row],[Female% (25-29)]]</f>
        <v>0</v>
      </c>
      <c r="DV179" s="1">
        <f>$CU179*Table1[[#This Row],[Male% (25-29)]]</f>
        <v>0</v>
      </c>
      <c r="DW179" s="1">
        <f>$AF179*Table1[[#This Row],[Total%   (30-34)]]</f>
        <v>0</v>
      </c>
      <c r="DX179" s="1">
        <f>$CT179*Table1[[#This Row],[Female%   (30-34)]]</f>
        <v>0</v>
      </c>
      <c r="DY179" s="1">
        <f>$CU179*Table1[[#This Row],[Male%  (30-34)]]</f>
        <v>0</v>
      </c>
      <c r="DZ179" s="1">
        <f>$AF179*Table1[[#This Row],[Total% (35-39)]]</f>
        <v>0</v>
      </c>
      <c r="EA179" s="1">
        <f>$CT179*Table1[[#This Row],[Female% (35-39)]]</f>
        <v>0</v>
      </c>
      <c r="EB179" s="1">
        <f>$CU179*Table1[[#This Row],[Male% (35-39)]]</f>
        <v>0</v>
      </c>
      <c r="EC179" s="1">
        <f>$AF179*Table1[[#This Row],[Total% (40-44)]]</f>
        <v>0</v>
      </c>
      <c r="ED179" s="1">
        <f>$CT179*Table1[[#This Row],[Female% (40-44)]]</f>
        <v>0</v>
      </c>
      <c r="EE179" s="1">
        <f>$CU179*Table1[[#This Row],[Male%(55-59)]]</f>
        <v>0</v>
      </c>
      <c r="EF179" s="1">
        <f>$AF179*Table1[[#This Row],[Total% (45-49)]]</f>
        <v>0</v>
      </c>
      <c r="EG179" s="1">
        <f>$CT179*Table1[[#This Row],[Female% (45-49)]]</f>
        <v>0</v>
      </c>
      <c r="EH179" s="1">
        <f>$CU179*Table1[[#This Row],[Male% (45-49)]]</f>
        <v>0</v>
      </c>
      <c r="EI179" s="1">
        <f>$AF179*Table1[[#This Row],[Total% (50-54)]]</f>
        <v>0</v>
      </c>
      <c r="EJ179" s="1">
        <f>$CT179*Table1[[#This Row],[Female%(50-54)]]</f>
        <v>0</v>
      </c>
      <c r="EK179" s="1">
        <f>$CU179*Table1[[#This Row],[Male% (50-54)]]</f>
        <v>0</v>
      </c>
      <c r="EL179" s="1">
        <f>$AF179*Table1[[#This Row],[Total% (55-59)]]</f>
        <v>0</v>
      </c>
      <c r="EM179" s="1">
        <f>$CT179*Table1[[#This Row],[Female% (55-59)]]</f>
        <v>0</v>
      </c>
      <c r="EN179" s="1">
        <f>$CU179*Table1[[#This Row],[Male% (55-59)]]</f>
        <v>0</v>
      </c>
      <c r="EO179" s="1">
        <f>$AF179*Table1[[#This Row],[Total% (60-64)]]</f>
        <v>0</v>
      </c>
      <c r="EP179" s="1">
        <f>$CT179*Table1[[#This Row],[Female%(60-64)]]</f>
        <v>0</v>
      </c>
      <c r="EQ179" s="1">
        <f>$CU179*Table1[[#This Row],[Male%(60-64)]]</f>
        <v>0</v>
      </c>
      <c r="ER179" s="1">
        <f>$AF179*Table1[[#This Row],[Total% (&gt;=65)]]</f>
        <v>0</v>
      </c>
      <c r="ES179" s="1">
        <f>$CT179*Table1[[#This Row],[Female%(&gt;=65)]]</f>
        <v>0</v>
      </c>
      <c r="ET179" s="1">
        <f>$CU179*Table1[[#This Row],[Male% (&gt;=65)]]</f>
        <v>0</v>
      </c>
    </row>
    <row r="180" spans="1:150" hidden="1" x14ac:dyDescent="0.35">
      <c r="A180" t="s">
        <v>184</v>
      </c>
      <c r="B180" t="s">
        <v>185</v>
      </c>
      <c r="C180" t="s">
        <v>280</v>
      </c>
      <c r="D180" t="s">
        <v>281</v>
      </c>
      <c r="E180" t="s">
        <v>280</v>
      </c>
      <c r="F180" t="s">
        <v>422</v>
      </c>
      <c r="H180">
        <v>4</v>
      </c>
      <c r="I180" s="1">
        <v>0</v>
      </c>
      <c r="J180" s="1">
        <v>0</v>
      </c>
      <c r="K180" s="1">
        <v>143662</v>
      </c>
      <c r="L180" s="1">
        <v>203602</v>
      </c>
      <c r="M180" s="1">
        <v>0</v>
      </c>
      <c r="N180" s="1">
        <v>347264</v>
      </c>
      <c r="O180" s="3">
        <v>0</v>
      </c>
      <c r="P180" s="3">
        <v>1</v>
      </c>
      <c r="Q180" s="3">
        <v>0</v>
      </c>
      <c r="R180" s="3">
        <v>0</v>
      </c>
      <c r="S180" s="3">
        <v>0</v>
      </c>
      <c r="T180" s="1">
        <v>347264</v>
      </c>
      <c r="U180" s="1">
        <v>0</v>
      </c>
      <c r="V180" s="10">
        <f>Table1[[#This Row],[Pop NW+RATAA]]*Table1[[#This Row],[Perc_pop_Northern_Aleppo]]</f>
        <v>0</v>
      </c>
      <c r="W180" s="10">
        <f>Table1[[#This Row],[Pop NW+RATAA]]*Table1[[#This Row],[Perc_pop_Afrin District]]</f>
        <v>0</v>
      </c>
      <c r="X180" s="10">
        <f>Table1[[#This Row],[Pop NW+RATAA]]*Table1[[#This Row],[Perc_pop_Euphrates Shiled]]</f>
        <v>0</v>
      </c>
      <c r="Y180" s="10">
        <f>Table1[[#This Row],[Pop NW+RATAA]]*Table1[[#This Row],[Perc_Pop_Idleb_NSAG]]</f>
        <v>0</v>
      </c>
      <c r="Z180" s="3">
        <v>0</v>
      </c>
      <c r="AA180" s="3">
        <v>0</v>
      </c>
      <c r="AB180" s="3">
        <v>0</v>
      </c>
      <c r="AC180" s="3">
        <v>0</v>
      </c>
      <c r="AD180" s="1">
        <v>0</v>
      </c>
      <c r="AE180" s="1">
        <v>347264</v>
      </c>
      <c r="AF180" s="1">
        <v>0</v>
      </c>
      <c r="AG180" s="1">
        <v>0</v>
      </c>
      <c r="AH180" s="1">
        <v>0</v>
      </c>
      <c r="AI180" s="1">
        <f>Table1[[#This Row],[NWS_pin]]*Table1[[#This Row],[Perc_pop_Northern_Aleppo]]</f>
        <v>0</v>
      </c>
      <c r="AJ180" s="1">
        <f>Table1[[#This Row],[NWS_pin]]*Table1[[#This Row],[Perc_pop_Afrin District]]</f>
        <v>0</v>
      </c>
      <c r="AK180" s="1">
        <f>Table1[[#This Row],[NWS_pin]]*Table1[[#This Row],[Perc_pop_Euphrates Shiled]]</f>
        <v>0</v>
      </c>
      <c r="AL180" s="1">
        <f>Table1[[#This Row],[NWS_pin]]*Table1[[#This Row],[Perc_Pop_Idleb_NSAG]]</f>
        <v>0</v>
      </c>
      <c r="AM180" s="4">
        <v>0.51752175157097902</v>
      </c>
      <c r="AN180" s="4">
        <v>0.48247824842902098</v>
      </c>
      <c r="AO180" s="4">
        <v>0.233832482381295</v>
      </c>
      <c r="AP180" s="4">
        <v>0.367900630021816</v>
      </c>
      <c r="AQ180" s="4">
        <v>0.58568620988491804</v>
      </c>
      <c r="AR180" s="4">
        <v>3.6012865191627302E-3</v>
      </c>
      <c r="AS180" s="4">
        <v>0</v>
      </c>
      <c r="AT180" s="4">
        <v>4.2811873574103397E-2</v>
      </c>
      <c r="AU180" s="4">
        <v>6.4138523905287501E-2</v>
      </c>
      <c r="AV180" s="4">
        <v>6.2526978730877106E-2</v>
      </c>
      <c r="AW180" s="4">
        <v>6.5867119306452795E-2</v>
      </c>
      <c r="AX180" s="4">
        <v>0.13542400244922001</v>
      </c>
      <c r="AY180" s="4">
        <v>0.15269148893589399</v>
      </c>
      <c r="AZ180" s="4">
        <v>0.11690233876612401</v>
      </c>
      <c r="BA180" s="4">
        <v>0.112278444831094</v>
      </c>
      <c r="BB180" s="4">
        <v>0.11623458898963999</v>
      </c>
      <c r="BC180" s="4">
        <v>0.108034956837461</v>
      </c>
      <c r="BD180" s="4">
        <v>6.4764801399007199E-2</v>
      </c>
      <c r="BE180" s="4">
        <v>4.7202907324544401E-2</v>
      </c>
      <c r="BF180" s="4">
        <v>8.3602256169068301E-2</v>
      </c>
      <c r="BG180" s="4">
        <v>5.1787208650244498E-2</v>
      </c>
      <c r="BH180" s="4">
        <v>3.5728593043479501E-2</v>
      </c>
      <c r="BI180" s="4">
        <v>6.9012198385384096E-2</v>
      </c>
      <c r="BJ180" s="4">
        <v>5.6086701886345701E-2</v>
      </c>
      <c r="BK180" s="4">
        <v>5.9541113028162798E-2</v>
      </c>
      <c r="BL180" s="4">
        <v>5.2381388930620901E-2</v>
      </c>
      <c r="BM180" s="4">
        <v>7.4594443331418101E-3</v>
      </c>
      <c r="BN180" s="4">
        <v>2.12599292532437E-4</v>
      </c>
      <c r="BO180" s="4">
        <v>1.5232644370638201E-2</v>
      </c>
      <c r="BP180" s="4">
        <v>2.1387046346900699E-2</v>
      </c>
      <c r="BQ180" s="4">
        <v>2.4992400789322002E-2</v>
      </c>
      <c r="BR180" s="4">
        <v>1.7519826732023999E-2</v>
      </c>
      <c r="BS180" s="4">
        <v>7.2339863309125105E-2</v>
      </c>
      <c r="BT180" s="4">
        <v>0.114966900891058</v>
      </c>
      <c r="BU180" s="4">
        <v>2.66167260992843E-2</v>
      </c>
      <c r="BV180" s="4">
        <v>8.77068440962636E-2</v>
      </c>
      <c r="BW180" s="4">
        <v>7.2978538558223394E-2</v>
      </c>
      <c r="BX180" s="4">
        <v>0.103504900287475</v>
      </c>
      <c r="BY180" s="4">
        <v>0.10158802848335299</v>
      </c>
      <c r="BZ180" s="4">
        <v>0.10601600564021101</v>
      </c>
      <c r="CA180" s="4">
        <v>9.6838437177226303E-2</v>
      </c>
      <c r="CB180" s="4">
        <v>6.4995020644912693E-2</v>
      </c>
      <c r="CC180" s="4">
        <v>5.8083062963358703E-2</v>
      </c>
      <c r="CD180" s="4">
        <v>7.2409009685433304E-2</v>
      </c>
      <c r="CE180" s="4">
        <v>4.0702605071919001E-2</v>
      </c>
      <c r="CF180" s="4">
        <v>2.82161176091714E-2</v>
      </c>
      <c r="CG180" s="4">
        <v>5.4096014792939497E-2</v>
      </c>
      <c r="CH180" s="4">
        <v>3.1254281136608303E-2</v>
      </c>
      <c r="CI180" s="4">
        <v>2.3424869908040099E-2</v>
      </c>
      <c r="CJ180" s="4">
        <v>3.9652360482094501E-2</v>
      </c>
      <c r="CK180" s="4">
        <v>2.5045675183179301E-2</v>
      </c>
      <c r="CL180" s="4">
        <v>2.3803040262067199E-2</v>
      </c>
      <c r="CM180" s="4">
        <v>2.6378565532186999E-2</v>
      </c>
      <c r="CN180" s="4">
        <v>1.3901856092540301E-2</v>
      </c>
      <c r="CO180" s="4">
        <v>1.7870851255057201E-2</v>
      </c>
      <c r="CP180" s="4">
        <v>9.6445836970061299E-3</v>
      </c>
      <c r="CQ180" s="4">
        <v>4.91396521808573E-2</v>
      </c>
      <c r="CR180" s="4">
        <v>5.5509942778361299E-2</v>
      </c>
      <c r="CS180" s="4">
        <v>4.23066727485805E-2</v>
      </c>
      <c r="CT180" s="1">
        <f>Table1[[#This Row],[Female %]]*Table1[[#This Row],[NWS_pin]]</f>
        <v>0</v>
      </c>
      <c r="CU180" s="1">
        <f>Table1[[#This Row],[Male %]]*Table1[[#This Row],[NWS_pin]]</f>
        <v>0</v>
      </c>
      <c r="CV180" s="1">
        <f>Table1[[#This Row],[Female% (0-2)22]]+Table1[[#This Row],[Male%(0-2)3]]</f>
        <v>0</v>
      </c>
      <c r="CW180" s="1">
        <f>$CT180*Table1[[#This Row],[Female% (0-2)]]</f>
        <v>0</v>
      </c>
      <c r="CX180" s="1">
        <f>$CU180*Table1[[#This Row],[Male%(0-2)]]</f>
        <v>0</v>
      </c>
      <c r="CY180" s="1">
        <f>Table1[[#This Row],[Female%  (3-5)5]]+Table1[[#This Row],[Male% (3-5)6]]</f>
        <v>0</v>
      </c>
      <c r="CZ180" s="1">
        <f>$AF180*Table1[[#This Row],[Female%  (3-5)]]</f>
        <v>0</v>
      </c>
      <c r="DA180" s="1">
        <f>$CU180*Table1[[#This Row],[Male% (3-5)]]</f>
        <v>0</v>
      </c>
      <c r="DB180" s="1">
        <f>Table1[[#This Row],[Female% (6-8)8]]+Table1[[#This Row],[Male%(6-8)9]]</f>
        <v>0</v>
      </c>
      <c r="DC180" s="1">
        <f>$CT180*Table1[[#This Row],[Female% (6-8)]]</f>
        <v>0</v>
      </c>
      <c r="DD180" s="1">
        <f>$CU180*Table1[[#This Row],[Male%(6-8)]]</f>
        <v>0</v>
      </c>
      <c r="DE180" s="1">
        <f>Table1[[#This Row],[Female% (9 - 11)11]]+Table1[[#This Row],[Male% (9 - 11)12]]</f>
        <v>0</v>
      </c>
      <c r="DF180" s="1">
        <f>$CT180*Table1[[#This Row],[Female% (9 - 11)]]</f>
        <v>0</v>
      </c>
      <c r="DG180" s="1">
        <f>$CU180*Table1[[#This Row],[Male% (9 - 11)]]</f>
        <v>0</v>
      </c>
      <c r="DH180" s="1">
        <f>Table1[[#This Row],[Female% (12-14)14]]+Table1[[#This Row],[Male%(12-14)15]]</f>
        <v>0</v>
      </c>
      <c r="DI180" s="1">
        <f>$CT180*Table1[[#This Row],[Female% (12-14)]]</f>
        <v>0</v>
      </c>
      <c r="DJ180" s="1">
        <f>$CU180*Table1[[#This Row],[Male%(12-14)]]</f>
        <v>0</v>
      </c>
      <c r="DK180" s="1">
        <f>Table1[[#This Row],[Female% (15-17)17]]+Table1[[#This Row],[Male%(15-17)18]]</f>
        <v>0</v>
      </c>
      <c r="DL180" s="1">
        <f>$CT180*Table1[[#This Row],[Female% (15-17)]]</f>
        <v>0</v>
      </c>
      <c r="DM180" s="1">
        <f>$CU180*Table1[[#This Row],[Male%(15-17)]]</f>
        <v>0</v>
      </c>
      <c r="DN180" s="1">
        <f>$AF180*Table1[[#This Row],[Total% (18-19)]]</f>
        <v>0</v>
      </c>
      <c r="DO180" s="1">
        <f>$CT180*Table1[[#This Row],[Female% (18-19)]]</f>
        <v>0</v>
      </c>
      <c r="DP180" s="1">
        <f>$CU180*Table1[[#This Row],[Male%(18-19)]]</f>
        <v>0</v>
      </c>
      <c r="DQ180" s="1">
        <f>$AF180*Table1[[#This Row],[Total% (20-24)]]</f>
        <v>0</v>
      </c>
      <c r="DR180" s="1">
        <f>$CT180*Table1[[#This Row],[Female% (20-24)]]</f>
        <v>0</v>
      </c>
      <c r="DS180" s="1">
        <f>$CU180*Table1[[#This Row],[Male% (20-24)]]</f>
        <v>0</v>
      </c>
      <c r="DT180" s="1">
        <f>$AF180*Table1[[#This Row],[Total% (25-29)]]</f>
        <v>0</v>
      </c>
      <c r="DU180" s="1">
        <f>$CT180*Table1[[#This Row],[Female% (25-29)]]</f>
        <v>0</v>
      </c>
      <c r="DV180" s="1">
        <f>$CU180*Table1[[#This Row],[Male% (25-29)]]</f>
        <v>0</v>
      </c>
      <c r="DW180" s="1">
        <f>$AF180*Table1[[#This Row],[Total%   (30-34)]]</f>
        <v>0</v>
      </c>
      <c r="DX180" s="1">
        <f>$CT180*Table1[[#This Row],[Female%   (30-34)]]</f>
        <v>0</v>
      </c>
      <c r="DY180" s="1">
        <f>$CU180*Table1[[#This Row],[Male%  (30-34)]]</f>
        <v>0</v>
      </c>
      <c r="DZ180" s="1">
        <f>$AF180*Table1[[#This Row],[Total% (35-39)]]</f>
        <v>0</v>
      </c>
      <c r="EA180" s="1">
        <f>$CT180*Table1[[#This Row],[Female% (35-39)]]</f>
        <v>0</v>
      </c>
      <c r="EB180" s="1">
        <f>$CU180*Table1[[#This Row],[Male% (35-39)]]</f>
        <v>0</v>
      </c>
      <c r="EC180" s="1">
        <f>$AF180*Table1[[#This Row],[Total% (40-44)]]</f>
        <v>0</v>
      </c>
      <c r="ED180" s="1">
        <f>$CT180*Table1[[#This Row],[Female% (40-44)]]</f>
        <v>0</v>
      </c>
      <c r="EE180" s="1">
        <f>$CU180*Table1[[#This Row],[Male%(55-59)]]</f>
        <v>0</v>
      </c>
      <c r="EF180" s="1">
        <f>$AF180*Table1[[#This Row],[Total% (45-49)]]</f>
        <v>0</v>
      </c>
      <c r="EG180" s="1">
        <f>$CT180*Table1[[#This Row],[Female% (45-49)]]</f>
        <v>0</v>
      </c>
      <c r="EH180" s="1">
        <f>$CU180*Table1[[#This Row],[Male% (45-49)]]</f>
        <v>0</v>
      </c>
      <c r="EI180" s="1">
        <f>$AF180*Table1[[#This Row],[Total% (50-54)]]</f>
        <v>0</v>
      </c>
      <c r="EJ180" s="1">
        <f>$CT180*Table1[[#This Row],[Female%(50-54)]]</f>
        <v>0</v>
      </c>
      <c r="EK180" s="1">
        <f>$CU180*Table1[[#This Row],[Male% (50-54)]]</f>
        <v>0</v>
      </c>
      <c r="EL180" s="1">
        <f>$AF180*Table1[[#This Row],[Total% (55-59)]]</f>
        <v>0</v>
      </c>
      <c r="EM180" s="1">
        <f>$CT180*Table1[[#This Row],[Female% (55-59)]]</f>
        <v>0</v>
      </c>
      <c r="EN180" s="1">
        <f>$CU180*Table1[[#This Row],[Male% (55-59)]]</f>
        <v>0</v>
      </c>
      <c r="EO180" s="1">
        <f>$AF180*Table1[[#This Row],[Total% (60-64)]]</f>
        <v>0</v>
      </c>
      <c r="EP180" s="1">
        <f>$CT180*Table1[[#This Row],[Female%(60-64)]]</f>
        <v>0</v>
      </c>
      <c r="EQ180" s="1">
        <f>$CU180*Table1[[#This Row],[Male%(60-64)]]</f>
        <v>0</v>
      </c>
      <c r="ER180" s="1">
        <f>$AF180*Table1[[#This Row],[Total% (&gt;=65)]]</f>
        <v>0</v>
      </c>
      <c r="ES180" s="1">
        <f>$CT180*Table1[[#This Row],[Female%(&gt;=65)]]</f>
        <v>0</v>
      </c>
      <c r="ET180" s="1">
        <f>$CU180*Table1[[#This Row],[Male% (&gt;=65)]]</f>
        <v>0</v>
      </c>
    </row>
    <row r="181" spans="1:150" hidden="1" x14ac:dyDescent="0.35">
      <c r="A181" t="s">
        <v>184</v>
      </c>
      <c r="B181" t="s">
        <v>185</v>
      </c>
      <c r="C181" t="s">
        <v>280</v>
      </c>
      <c r="D181" t="s">
        <v>281</v>
      </c>
      <c r="E181" t="s">
        <v>282</v>
      </c>
      <c r="F181" t="s">
        <v>283</v>
      </c>
      <c r="H181">
        <v>4</v>
      </c>
      <c r="I181" s="1">
        <v>0</v>
      </c>
      <c r="J181" s="1">
        <v>0</v>
      </c>
      <c r="K181" s="1">
        <v>554</v>
      </c>
      <c r="L181" s="1">
        <v>28276</v>
      </c>
      <c r="M181" s="1">
        <v>0</v>
      </c>
      <c r="N181" s="1">
        <v>28830</v>
      </c>
      <c r="O181" s="3">
        <v>0</v>
      </c>
      <c r="P181" s="3">
        <v>1</v>
      </c>
      <c r="Q181" s="3">
        <v>0</v>
      </c>
      <c r="R181" s="3">
        <v>0</v>
      </c>
      <c r="S181" s="3">
        <v>0</v>
      </c>
      <c r="T181" s="1">
        <v>28830</v>
      </c>
      <c r="U181" s="1">
        <v>0</v>
      </c>
      <c r="V181" s="10">
        <f>Table1[[#This Row],[Pop NW+RATAA]]*Table1[[#This Row],[Perc_pop_Northern_Aleppo]]</f>
        <v>0</v>
      </c>
      <c r="W181" s="10">
        <f>Table1[[#This Row],[Pop NW+RATAA]]*Table1[[#This Row],[Perc_pop_Afrin District]]</f>
        <v>0</v>
      </c>
      <c r="X181" s="10">
        <f>Table1[[#This Row],[Pop NW+RATAA]]*Table1[[#This Row],[Perc_pop_Euphrates Shiled]]</f>
        <v>0</v>
      </c>
      <c r="Y181" s="10">
        <f>Table1[[#This Row],[Pop NW+RATAA]]*Table1[[#This Row],[Perc_Pop_Idleb_NSAG]]</f>
        <v>0</v>
      </c>
      <c r="Z181" s="3">
        <v>0</v>
      </c>
      <c r="AA181" s="3">
        <v>0</v>
      </c>
      <c r="AB181" s="3">
        <v>0</v>
      </c>
      <c r="AC181" s="3">
        <v>0</v>
      </c>
      <c r="AD181" s="1">
        <v>0</v>
      </c>
      <c r="AE181" s="1">
        <v>28830</v>
      </c>
      <c r="AF181" s="1">
        <v>0</v>
      </c>
      <c r="AG181" s="1">
        <v>0</v>
      </c>
      <c r="AH181" s="1">
        <v>0</v>
      </c>
      <c r="AI181" s="1">
        <f>Table1[[#This Row],[NWS_pin]]*Table1[[#This Row],[Perc_pop_Northern_Aleppo]]</f>
        <v>0</v>
      </c>
      <c r="AJ181" s="1">
        <f>Table1[[#This Row],[NWS_pin]]*Table1[[#This Row],[Perc_pop_Afrin District]]</f>
        <v>0</v>
      </c>
      <c r="AK181" s="1">
        <f>Table1[[#This Row],[NWS_pin]]*Table1[[#This Row],[Perc_pop_Euphrates Shiled]]</f>
        <v>0</v>
      </c>
      <c r="AL181" s="1">
        <f>Table1[[#This Row],[NWS_pin]]*Table1[[#This Row],[Perc_Pop_Idleb_NSAG]]</f>
        <v>0</v>
      </c>
      <c r="AM181" s="4">
        <v>0.52581624882322298</v>
      </c>
      <c r="AN181" s="4">
        <v>0.47418375117677702</v>
      </c>
      <c r="AO181" s="4">
        <v>0.257308999150552</v>
      </c>
      <c r="AP181" s="4">
        <v>0.540964334486007</v>
      </c>
      <c r="AQ181" s="4">
        <v>0.37152690639228497</v>
      </c>
      <c r="AR181" s="4">
        <v>3.5802400732669998E-3</v>
      </c>
      <c r="AS181" s="4">
        <v>0</v>
      </c>
      <c r="AT181" s="4">
        <v>8.3928519048441605E-2</v>
      </c>
      <c r="AU181" s="4">
        <v>2.17627376790651E-2</v>
      </c>
      <c r="AV181" s="4">
        <v>3.60486418895688E-2</v>
      </c>
      <c r="AW181" s="4">
        <v>5.9212826642673902E-3</v>
      </c>
      <c r="AX181" s="4">
        <v>3.2515035768038401E-2</v>
      </c>
      <c r="AY181" s="4">
        <v>3.8457700634680098E-2</v>
      </c>
      <c r="AZ181" s="4">
        <v>2.59252913062419E-2</v>
      </c>
      <c r="BA181" s="4">
        <v>5.4454065203964799E-2</v>
      </c>
      <c r="BB181" s="4">
        <v>5.6782512457257003E-2</v>
      </c>
      <c r="BC181" s="4">
        <v>5.1872080061558599E-2</v>
      </c>
      <c r="BD181" s="4">
        <v>6.5773615000389807E-2</v>
      </c>
      <c r="BE181" s="4">
        <v>5.58354245103624E-2</v>
      </c>
      <c r="BF181" s="4">
        <v>7.6793946318340495E-2</v>
      </c>
      <c r="BG181" s="4">
        <v>9.2215879450017704E-2</v>
      </c>
      <c r="BH181" s="4">
        <v>4.1430678693144103E-2</v>
      </c>
      <c r="BI181" s="4">
        <v>0.14853093388080199</v>
      </c>
      <c r="BJ181" s="4">
        <v>0.150622417835449</v>
      </c>
      <c r="BK181" s="4">
        <v>0.11396986082197701</v>
      </c>
      <c r="BL181" s="4">
        <v>0.19126596580767499</v>
      </c>
      <c r="BM181" s="4">
        <v>5.87207454622862E-2</v>
      </c>
      <c r="BN181" s="4">
        <v>5.3791858464805199E-2</v>
      </c>
      <c r="BO181" s="4">
        <v>6.4186324713910003E-2</v>
      </c>
      <c r="BP181" s="4">
        <v>6.1966852352655498E-2</v>
      </c>
      <c r="BQ181" s="4">
        <v>6.9960776532289701E-2</v>
      </c>
      <c r="BR181" s="4">
        <v>5.3102492882131397E-2</v>
      </c>
      <c r="BS181" s="4">
        <v>3.6683676222799201E-2</v>
      </c>
      <c r="BT181" s="4">
        <v>6.9765200875586006E-2</v>
      </c>
      <c r="BU181" s="4">
        <v>0</v>
      </c>
      <c r="BV181" s="4">
        <v>4.88460085507499E-2</v>
      </c>
      <c r="BW181" s="4">
        <v>5.3757646979667499E-2</v>
      </c>
      <c r="BX181" s="4">
        <v>4.3399556014448899E-2</v>
      </c>
      <c r="BY181" s="4">
        <v>3.8180956892467997E-2</v>
      </c>
      <c r="BZ181" s="4">
        <v>3.8503886139615903E-2</v>
      </c>
      <c r="CA181" s="4">
        <v>3.7822864813291501E-2</v>
      </c>
      <c r="CB181" s="4">
        <v>8.6266632287775299E-2</v>
      </c>
      <c r="CC181" s="4">
        <v>0.11102140099452799</v>
      </c>
      <c r="CD181" s="4">
        <v>5.8816388390618798E-2</v>
      </c>
      <c r="CE181" s="4">
        <v>5.7104138059231598E-2</v>
      </c>
      <c r="CF181" s="4">
        <v>4.6613148500082899E-2</v>
      </c>
      <c r="CG181" s="4">
        <v>6.87374611386187E-2</v>
      </c>
      <c r="CH181" s="4">
        <v>6.2246280783598902E-2</v>
      </c>
      <c r="CI181" s="4">
        <v>7.2239261442458805E-2</v>
      </c>
      <c r="CJ181" s="4">
        <v>5.1165193353747501E-2</v>
      </c>
      <c r="CK181" s="4">
        <v>5.0608326487536603E-2</v>
      </c>
      <c r="CL181" s="4">
        <v>4.4112859127937797E-2</v>
      </c>
      <c r="CM181" s="4">
        <v>5.7811066507416901E-2</v>
      </c>
      <c r="CN181" s="4">
        <v>2.0102057336795199E-2</v>
      </c>
      <c r="CO181" s="4">
        <v>9.3939036273867592E-3</v>
      </c>
      <c r="CP181" s="4">
        <v>3.1976190942871803E-2</v>
      </c>
      <c r="CQ181" s="4">
        <v>6.1930574627178901E-2</v>
      </c>
      <c r="CR181" s="4">
        <v>8.8315238308652594E-2</v>
      </c>
      <c r="CS181" s="4">
        <v>3.2672961204059499E-2</v>
      </c>
      <c r="CT181" s="1">
        <f>Table1[[#This Row],[Female %]]*Table1[[#This Row],[NWS_pin]]</f>
        <v>0</v>
      </c>
      <c r="CU181" s="1">
        <f>Table1[[#This Row],[Male %]]*Table1[[#This Row],[NWS_pin]]</f>
        <v>0</v>
      </c>
      <c r="CV181" s="1">
        <f>Table1[[#This Row],[Female% (0-2)22]]+Table1[[#This Row],[Male%(0-2)3]]</f>
        <v>0</v>
      </c>
      <c r="CW181" s="1">
        <f>$CT181*Table1[[#This Row],[Female% (0-2)]]</f>
        <v>0</v>
      </c>
      <c r="CX181" s="1">
        <f>$CU181*Table1[[#This Row],[Male%(0-2)]]</f>
        <v>0</v>
      </c>
      <c r="CY181" s="1">
        <f>Table1[[#This Row],[Female%  (3-5)5]]+Table1[[#This Row],[Male% (3-5)6]]</f>
        <v>0</v>
      </c>
      <c r="CZ181" s="1">
        <f>$AF181*Table1[[#This Row],[Female%  (3-5)]]</f>
        <v>0</v>
      </c>
      <c r="DA181" s="1">
        <f>$CU181*Table1[[#This Row],[Male% (3-5)]]</f>
        <v>0</v>
      </c>
      <c r="DB181" s="1">
        <f>Table1[[#This Row],[Female% (6-8)8]]+Table1[[#This Row],[Male%(6-8)9]]</f>
        <v>0</v>
      </c>
      <c r="DC181" s="1">
        <f>$CT181*Table1[[#This Row],[Female% (6-8)]]</f>
        <v>0</v>
      </c>
      <c r="DD181" s="1">
        <f>$CU181*Table1[[#This Row],[Male%(6-8)]]</f>
        <v>0</v>
      </c>
      <c r="DE181" s="1">
        <f>Table1[[#This Row],[Female% (9 - 11)11]]+Table1[[#This Row],[Male% (9 - 11)12]]</f>
        <v>0</v>
      </c>
      <c r="DF181" s="1">
        <f>$CT181*Table1[[#This Row],[Female% (9 - 11)]]</f>
        <v>0</v>
      </c>
      <c r="DG181" s="1">
        <f>$CU181*Table1[[#This Row],[Male% (9 - 11)]]</f>
        <v>0</v>
      </c>
      <c r="DH181" s="1">
        <f>Table1[[#This Row],[Female% (12-14)14]]+Table1[[#This Row],[Male%(12-14)15]]</f>
        <v>0</v>
      </c>
      <c r="DI181" s="1">
        <f>$CT181*Table1[[#This Row],[Female% (12-14)]]</f>
        <v>0</v>
      </c>
      <c r="DJ181" s="1">
        <f>$CU181*Table1[[#This Row],[Male%(12-14)]]</f>
        <v>0</v>
      </c>
      <c r="DK181" s="1">
        <f>Table1[[#This Row],[Female% (15-17)17]]+Table1[[#This Row],[Male%(15-17)18]]</f>
        <v>0</v>
      </c>
      <c r="DL181" s="1">
        <f>$CT181*Table1[[#This Row],[Female% (15-17)]]</f>
        <v>0</v>
      </c>
      <c r="DM181" s="1">
        <f>$CU181*Table1[[#This Row],[Male%(15-17)]]</f>
        <v>0</v>
      </c>
      <c r="DN181" s="1">
        <f>$AF181*Table1[[#This Row],[Total% (18-19)]]</f>
        <v>0</v>
      </c>
      <c r="DO181" s="1">
        <f>$CT181*Table1[[#This Row],[Female% (18-19)]]</f>
        <v>0</v>
      </c>
      <c r="DP181" s="1">
        <f>$CU181*Table1[[#This Row],[Male%(18-19)]]</f>
        <v>0</v>
      </c>
      <c r="DQ181" s="1">
        <f>$AF181*Table1[[#This Row],[Total% (20-24)]]</f>
        <v>0</v>
      </c>
      <c r="DR181" s="1">
        <f>$CT181*Table1[[#This Row],[Female% (20-24)]]</f>
        <v>0</v>
      </c>
      <c r="DS181" s="1">
        <f>$CU181*Table1[[#This Row],[Male% (20-24)]]</f>
        <v>0</v>
      </c>
      <c r="DT181" s="1">
        <f>$AF181*Table1[[#This Row],[Total% (25-29)]]</f>
        <v>0</v>
      </c>
      <c r="DU181" s="1">
        <f>$CT181*Table1[[#This Row],[Female% (25-29)]]</f>
        <v>0</v>
      </c>
      <c r="DV181" s="1">
        <f>$CU181*Table1[[#This Row],[Male% (25-29)]]</f>
        <v>0</v>
      </c>
      <c r="DW181" s="1">
        <f>$AF181*Table1[[#This Row],[Total%   (30-34)]]</f>
        <v>0</v>
      </c>
      <c r="DX181" s="1">
        <f>$CT181*Table1[[#This Row],[Female%   (30-34)]]</f>
        <v>0</v>
      </c>
      <c r="DY181" s="1">
        <f>$CU181*Table1[[#This Row],[Male%  (30-34)]]</f>
        <v>0</v>
      </c>
      <c r="DZ181" s="1">
        <f>$AF181*Table1[[#This Row],[Total% (35-39)]]</f>
        <v>0</v>
      </c>
      <c r="EA181" s="1">
        <f>$CT181*Table1[[#This Row],[Female% (35-39)]]</f>
        <v>0</v>
      </c>
      <c r="EB181" s="1">
        <f>$CU181*Table1[[#This Row],[Male% (35-39)]]</f>
        <v>0</v>
      </c>
      <c r="EC181" s="1">
        <f>$AF181*Table1[[#This Row],[Total% (40-44)]]</f>
        <v>0</v>
      </c>
      <c r="ED181" s="1">
        <f>$CT181*Table1[[#This Row],[Female% (40-44)]]</f>
        <v>0</v>
      </c>
      <c r="EE181" s="1">
        <f>$CU181*Table1[[#This Row],[Male%(55-59)]]</f>
        <v>0</v>
      </c>
      <c r="EF181" s="1">
        <f>$AF181*Table1[[#This Row],[Total% (45-49)]]</f>
        <v>0</v>
      </c>
      <c r="EG181" s="1">
        <f>$CT181*Table1[[#This Row],[Female% (45-49)]]</f>
        <v>0</v>
      </c>
      <c r="EH181" s="1">
        <f>$CU181*Table1[[#This Row],[Male% (45-49)]]</f>
        <v>0</v>
      </c>
      <c r="EI181" s="1">
        <f>$AF181*Table1[[#This Row],[Total% (50-54)]]</f>
        <v>0</v>
      </c>
      <c r="EJ181" s="1">
        <f>$CT181*Table1[[#This Row],[Female%(50-54)]]</f>
        <v>0</v>
      </c>
      <c r="EK181" s="1">
        <f>$CU181*Table1[[#This Row],[Male% (50-54)]]</f>
        <v>0</v>
      </c>
      <c r="EL181" s="1">
        <f>$AF181*Table1[[#This Row],[Total% (55-59)]]</f>
        <v>0</v>
      </c>
      <c r="EM181" s="1">
        <f>$CT181*Table1[[#This Row],[Female% (55-59)]]</f>
        <v>0</v>
      </c>
      <c r="EN181" s="1">
        <f>$CU181*Table1[[#This Row],[Male% (55-59)]]</f>
        <v>0</v>
      </c>
      <c r="EO181" s="1">
        <f>$AF181*Table1[[#This Row],[Total% (60-64)]]</f>
        <v>0</v>
      </c>
      <c r="EP181" s="1">
        <f>$CT181*Table1[[#This Row],[Female%(60-64)]]</f>
        <v>0</v>
      </c>
      <c r="EQ181" s="1">
        <f>$CU181*Table1[[#This Row],[Male%(60-64)]]</f>
        <v>0</v>
      </c>
      <c r="ER181" s="1">
        <f>$AF181*Table1[[#This Row],[Total% (&gt;=65)]]</f>
        <v>0</v>
      </c>
      <c r="ES181" s="1">
        <f>$CT181*Table1[[#This Row],[Female%(&gt;=65)]]</f>
        <v>0</v>
      </c>
      <c r="ET181" s="1">
        <f>$CU181*Table1[[#This Row],[Male% (&gt;=65)]]</f>
        <v>0</v>
      </c>
    </row>
    <row r="182" spans="1:150" hidden="1" x14ac:dyDescent="0.35">
      <c r="A182" t="s">
        <v>184</v>
      </c>
      <c r="B182" t="s">
        <v>185</v>
      </c>
      <c r="C182" t="s">
        <v>280</v>
      </c>
      <c r="D182" t="s">
        <v>281</v>
      </c>
      <c r="E182" t="s">
        <v>403</v>
      </c>
      <c r="F182" t="s">
        <v>404</v>
      </c>
      <c r="H182">
        <v>4</v>
      </c>
      <c r="I182" s="1">
        <v>0</v>
      </c>
      <c r="J182" s="1">
        <v>0</v>
      </c>
      <c r="K182" s="1">
        <v>931</v>
      </c>
      <c r="L182" s="1">
        <v>47818</v>
      </c>
      <c r="M182" s="1">
        <v>0</v>
      </c>
      <c r="N182" s="1">
        <v>48749</v>
      </c>
      <c r="O182" s="3">
        <v>0</v>
      </c>
      <c r="P182" s="3">
        <v>1</v>
      </c>
      <c r="Q182" s="3">
        <v>0</v>
      </c>
      <c r="R182" s="3">
        <v>0</v>
      </c>
      <c r="S182" s="3">
        <v>0</v>
      </c>
      <c r="T182" s="1">
        <v>48749</v>
      </c>
      <c r="U182" s="1">
        <v>0</v>
      </c>
      <c r="V182" s="10">
        <f>Table1[[#This Row],[Pop NW+RATAA]]*Table1[[#This Row],[Perc_pop_Northern_Aleppo]]</f>
        <v>0</v>
      </c>
      <c r="W182" s="10">
        <f>Table1[[#This Row],[Pop NW+RATAA]]*Table1[[#This Row],[Perc_pop_Afrin District]]</f>
        <v>0</v>
      </c>
      <c r="X182" s="10">
        <f>Table1[[#This Row],[Pop NW+RATAA]]*Table1[[#This Row],[Perc_pop_Euphrates Shiled]]</f>
        <v>0</v>
      </c>
      <c r="Y182" s="10">
        <f>Table1[[#This Row],[Pop NW+RATAA]]*Table1[[#This Row],[Perc_Pop_Idleb_NSAG]]</f>
        <v>0</v>
      </c>
      <c r="Z182" s="3">
        <v>0</v>
      </c>
      <c r="AA182" s="3">
        <v>0</v>
      </c>
      <c r="AB182" s="3">
        <v>0</v>
      </c>
      <c r="AC182" s="3">
        <v>0</v>
      </c>
      <c r="AD182" s="1">
        <v>0</v>
      </c>
      <c r="AE182" s="1">
        <v>48749</v>
      </c>
      <c r="AF182" s="1">
        <v>0</v>
      </c>
      <c r="AG182" s="1">
        <v>0</v>
      </c>
      <c r="AH182" s="1">
        <v>0</v>
      </c>
      <c r="AI182" s="1">
        <f>Table1[[#This Row],[NWS_pin]]*Table1[[#This Row],[Perc_pop_Northern_Aleppo]]</f>
        <v>0</v>
      </c>
      <c r="AJ182" s="1">
        <f>Table1[[#This Row],[NWS_pin]]*Table1[[#This Row],[Perc_pop_Afrin District]]</f>
        <v>0</v>
      </c>
      <c r="AK182" s="1">
        <f>Table1[[#This Row],[NWS_pin]]*Table1[[#This Row],[Perc_pop_Euphrates Shiled]]</f>
        <v>0</v>
      </c>
      <c r="AL182" s="1">
        <f>Table1[[#This Row],[NWS_pin]]*Table1[[#This Row],[Perc_Pop_Idleb_NSAG]]</f>
        <v>0</v>
      </c>
      <c r="AM182" s="4">
        <v>0.49930392907316801</v>
      </c>
      <c r="AN182" s="4">
        <v>0.50069607092683199</v>
      </c>
      <c r="AO182" s="4">
        <v>0.17237638401760499</v>
      </c>
      <c r="AP182" s="4">
        <v>0.50904534148453695</v>
      </c>
      <c r="AQ182" s="4">
        <v>0.48675835527136002</v>
      </c>
      <c r="AR182" s="4">
        <v>0</v>
      </c>
      <c r="AS182" s="4">
        <v>0</v>
      </c>
      <c r="AT182" s="4">
        <v>4.1963032441031597E-3</v>
      </c>
      <c r="AU182" s="4">
        <v>2.7333529658981399E-2</v>
      </c>
      <c r="AV182" s="4">
        <v>3.0783840667571501E-2</v>
      </c>
      <c r="AW182" s="4">
        <v>2.3892811939897899E-2</v>
      </c>
      <c r="AX182" s="4">
        <v>5.8621173832914097E-2</v>
      </c>
      <c r="AY182" s="4">
        <v>8.8340035520055898E-2</v>
      </c>
      <c r="AZ182" s="4">
        <v>2.8984942854500099E-2</v>
      </c>
      <c r="BA182" s="4">
        <v>6.5923114758535295E-2</v>
      </c>
      <c r="BB182" s="4">
        <v>6.5745944404946702E-2</v>
      </c>
      <c r="BC182" s="4">
        <v>6.6099792505373497E-2</v>
      </c>
      <c r="BD182" s="4">
        <v>6.2266132353804397E-2</v>
      </c>
      <c r="BE182" s="4">
        <v>6.3838394326334799E-2</v>
      </c>
      <c r="BF182" s="4">
        <v>6.0698241918867399E-2</v>
      </c>
      <c r="BG182" s="4">
        <v>9.6275706654324195E-2</v>
      </c>
      <c r="BH182" s="4">
        <v>0.104323419248554</v>
      </c>
      <c r="BI182" s="4">
        <v>8.8250370024635094E-2</v>
      </c>
      <c r="BJ182" s="4">
        <v>0.111801104710147</v>
      </c>
      <c r="BK182" s="4">
        <v>9.4422016763564806E-2</v>
      </c>
      <c r="BL182" s="4">
        <v>0.12913187161505599</v>
      </c>
      <c r="BM182" s="4">
        <v>4.1613177919030298E-2</v>
      </c>
      <c r="BN182" s="4">
        <v>5.6988909866516703E-2</v>
      </c>
      <c r="BO182" s="4">
        <v>2.6280196856197799E-2</v>
      </c>
      <c r="BP182" s="4">
        <v>7.7215280164225006E-2</v>
      </c>
      <c r="BQ182" s="4">
        <v>5.3234804858953703E-2</v>
      </c>
      <c r="BR182" s="4">
        <v>0.101129079844738</v>
      </c>
      <c r="BS182" s="4">
        <v>7.2063268935640495E-2</v>
      </c>
      <c r="BT182" s="4">
        <v>6.3858075402380698E-2</v>
      </c>
      <c r="BU182" s="4">
        <v>8.02456486423129E-2</v>
      </c>
      <c r="BV182" s="4">
        <v>5.4771781150187403E-2</v>
      </c>
      <c r="BW182" s="4">
        <v>6.0998398866830401E-2</v>
      </c>
      <c r="BX182" s="4">
        <v>4.8562476002253101E-2</v>
      </c>
      <c r="BY182" s="4">
        <v>6.9788090298935401E-2</v>
      </c>
      <c r="BZ182" s="4">
        <v>7.6563381982199696E-2</v>
      </c>
      <c r="CA182" s="4">
        <v>6.3031636724597398E-2</v>
      </c>
      <c r="CB182" s="4">
        <v>8.5469925758470899E-2</v>
      </c>
      <c r="CC182" s="4">
        <v>9.3208311241080699E-2</v>
      </c>
      <c r="CD182" s="4">
        <v>7.7753056183285998E-2</v>
      </c>
      <c r="CE182" s="4">
        <v>0.100157519822651</v>
      </c>
      <c r="CF182" s="4">
        <v>8.83460735279126E-2</v>
      </c>
      <c r="CG182" s="4">
        <v>0.111936125418821</v>
      </c>
      <c r="CH182" s="4">
        <v>6.0136987183681503E-2</v>
      </c>
      <c r="CI182" s="4">
        <v>5.9348393323097499E-2</v>
      </c>
      <c r="CJ182" s="4">
        <v>6.0923388427660999E-2</v>
      </c>
      <c r="CK182" s="4">
        <v>1.6563206798471699E-2</v>
      </c>
      <c r="CL182" s="4">
        <v>0</v>
      </c>
      <c r="CM182" s="4">
        <v>3.3080361041802703E-2</v>
      </c>
      <c r="CN182" s="4">
        <v>0</v>
      </c>
      <c r="CO182" s="4">
        <v>0</v>
      </c>
      <c r="CP182" s="4">
        <v>0</v>
      </c>
      <c r="CQ182" s="4">
        <v>0</v>
      </c>
      <c r="CR182" s="4">
        <v>0</v>
      </c>
      <c r="CS182" s="4">
        <v>0</v>
      </c>
      <c r="CT182" s="1">
        <f>Table1[[#This Row],[Female %]]*Table1[[#This Row],[NWS_pin]]</f>
        <v>0</v>
      </c>
      <c r="CU182" s="1">
        <f>Table1[[#This Row],[Male %]]*Table1[[#This Row],[NWS_pin]]</f>
        <v>0</v>
      </c>
      <c r="CV182" s="1">
        <f>Table1[[#This Row],[Female% (0-2)22]]+Table1[[#This Row],[Male%(0-2)3]]</f>
        <v>0</v>
      </c>
      <c r="CW182" s="1">
        <f>$CT182*Table1[[#This Row],[Female% (0-2)]]</f>
        <v>0</v>
      </c>
      <c r="CX182" s="1">
        <f>$CU182*Table1[[#This Row],[Male%(0-2)]]</f>
        <v>0</v>
      </c>
      <c r="CY182" s="1">
        <f>Table1[[#This Row],[Female%  (3-5)5]]+Table1[[#This Row],[Male% (3-5)6]]</f>
        <v>0</v>
      </c>
      <c r="CZ182" s="1">
        <f>$AF182*Table1[[#This Row],[Female%  (3-5)]]</f>
        <v>0</v>
      </c>
      <c r="DA182" s="1">
        <f>$CU182*Table1[[#This Row],[Male% (3-5)]]</f>
        <v>0</v>
      </c>
      <c r="DB182" s="1">
        <f>Table1[[#This Row],[Female% (6-8)8]]+Table1[[#This Row],[Male%(6-8)9]]</f>
        <v>0</v>
      </c>
      <c r="DC182" s="1">
        <f>$CT182*Table1[[#This Row],[Female% (6-8)]]</f>
        <v>0</v>
      </c>
      <c r="DD182" s="1">
        <f>$CU182*Table1[[#This Row],[Male%(6-8)]]</f>
        <v>0</v>
      </c>
      <c r="DE182" s="1">
        <f>Table1[[#This Row],[Female% (9 - 11)11]]+Table1[[#This Row],[Male% (9 - 11)12]]</f>
        <v>0</v>
      </c>
      <c r="DF182" s="1">
        <f>$CT182*Table1[[#This Row],[Female% (9 - 11)]]</f>
        <v>0</v>
      </c>
      <c r="DG182" s="1">
        <f>$CU182*Table1[[#This Row],[Male% (9 - 11)]]</f>
        <v>0</v>
      </c>
      <c r="DH182" s="1">
        <f>Table1[[#This Row],[Female% (12-14)14]]+Table1[[#This Row],[Male%(12-14)15]]</f>
        <v>0</v>
      </c>
      <c r="DI182" s="1">
        <f>$CT182*Table1[[#This Row],[Female% (12-14)]]</f>
        <v>0</v>
      </c>
      <c r="DJ182" s="1">
        <f>$CU182*Table1[[#This Row],[Male%(12-14)]]</f>
        <v>0</v>
      </c>
      <c r="DK182" s="1">
        <f>Table1[[#This Row],[Female% (15-17)17]]+Table1[[#This Row],[Male%(15-17)18]]</f>
        <v>0</v>
      </c>
      <c r="DL182" s="1">
        <f>$CT182*Table1[[#This Row],[Female% (15-17)]]</f>
        <v>0</v>
      </c>
      <c r="DM182" s="1">
        <f>$CU182*Table1[[#This Row],[Male%(15-17)]]</f>
        <v>0</v>
      </c>
      <c r="DN182" s="1">
        <f>$AF182*Table1[[#This Row],[Total% (18-19)]]</f>
        <v>0</v>
      </c>
      <c r="DO182" s="1">
        <f>$CT182*Table1[[#This Row],[Female% (18-19)]]</f>
        <v>0</v>
      </c>
      <c r="DP182" s="1">
        <f>$CU182*Table1[[#This Row],[Male%(18-19)]]</f>
        <v>0</v>
      </c>
      <c r="DQ182" s="1">
        <f>$AF182*Table1[[#This Row],[Total% (20-24)]]</f>
        <v>0</v>
      </c>
      <c r="DR182" s="1">
        <f>$CT182*Table1[[#This Row],[Female% (20-24)]]</f>
        <v>0</v>
      </c>
      <c r="DS182" s="1">
        <f>$CU182*Table1[[#This Row],[Male% (20-24)]]</f>
        <v>0</v>
      </c>
      <c r="DT182" s="1">
        <f>$AF182*Table1[[#This Row],[Total% (25-29)]]</f>
        <v>0</v>
      </c>
      <c r="DU182" s="1">
        <f>$CT182*Table1[[#This Row],[Female% (25-29)]]</f>
        <v>0</v>
      </c>
      <c r="DV182" s="1">
        <f>$CU182*Table1[[#This Row],[Male% (25-29)]]</f>
        <v>0</v>
      </c>
      <c r="DW182" s="1">
        <f>$AF182*Table1[[#This Row],[Total%   (30-34)]]</f>
        <v>0</v>
      </c>
      <c r="DX182" s="1">
        <f>$CT182*Table1[[#This Row],[Female%   (30-34)]]</f>
        <v>0</v>
      </c>
      <c r="DY182" s="1">
        <f>$CU182*Table1[[#This Row],[Male%  (30-34)]]</f>
        <v>0</v>
      </c>
      <c r="DZ182" s="1">
        <f>$AF182*Table1[[#This Row],[Total% (35-39)]]</f>
        <v>0</v>
      </c>
      <c r="EA182" s="1">
        <f>$CT182*Table1[[#This Row],[Female% (35-39)]]</f>
        <v>0</v>
      </c>
      <c r="EB182" s="1">
        <f>$CU182*Table1[[#This Row],[Male% (35-39)]]</f>
        <v>0</v>
      </c>
      <c r="EC182" s="1">
        <f>$AF182*Table1[[#This Row],[Total% (40-44)]]</f>
        <v>0</v>
      </c>
      <c r="ED182" s="1">
        <f>$CT182*Table1[[#This Row],[Female% (40-44)]]</f>
        <v>0</v>
      </c>
      <c r="EE182" s="1">
        <f>$CU182*Table1[[#This Row],[Male%(55-59)]]</f>
        <v>0</v>
      </c>
      <c r="EF182" s="1">
        <f>$AF182*Table1[[#This Row],[Total% (45-49)]]</f>
        <v>0</v>
      </c>
      <c r="EG182" s="1">
        <f>$CT182*Table1[[#This Row],[Female% (45-49)]]</f>
        <v>0</v>
      </c>
      <c r="EH182" s="1">
        <f>$CU182*Table1[[#This Row],[Male% (45-49)]]</f>
        <v>0</v>
      </c>
      <c r="EI182" s="1">
        <f>$AF182*Table1[[#This Row],[Total% (50-54)]]</f>
        <v>0</v>
      </c>
      <c r="EJ182" s="1">
        <f>$CT182*Table1[[#This Row],[Female%(50-54)]]</f>
        <v>0</v>
      </c>
      <c r="EK182" s="1">
        <f>$CU182*Table1[[#This Row],[Male% (50-54)]]</f>
        <v>0</v>
      </c>
      <c r="EL182" s="1">
        <f>$AF182*Table1[[#This Row],[Total% (55-59)]]</f>
        <v>0</v>
      </c>
      <c r="EM182" s="1">
        <f>$CT182*Table1[[#This Row],[Female% (55-59)]]</f>
        <v>0</v>
      </c>
      <c r="EN182" s="1">
        <f>$CU182*Table1[[#This Row],[Male% (55-59)]]</f>
        <v>0</v>
      </c>
      <c r="EO182" s="1">
        <f>$AF182*Table1[[#This Row],[Total% (60-64)]]</f>
        <v>0</v>
      </c>
      <c r="EP182" s="1">
        <f>$CT182*Table1[[#This Row],[Female%(60-64)]]</f>
        <v>0</v>
      </c>
      <c r="EQ182" s="1">
        <f>$CU182*Table1[[#This Row],[Male%(60-64)]]</f>
        <v>0</v>
      </c>
      <c r="ER182" s="1">
        <f>$AF182*Table1[[#This Row],[Total% (&gt;=65)]]</f>
        <v>0</v>
      </c>
      <c r="ES182" s="1">
        <f>$CT182*Table1[[#This Row],[Female%(&gt;=65)]]</f>
        <v>0</v>
      </c>
      <c r="ET182" s="1">
        <f>$CU182*Table1[[#This Row],[Male% (&gt;=65)]]</f>
        <v>0</v>
      </c>
    </row>
    <row r="183" spans="1:150" hidden="1" x14ac:dyDescent="0.35">
      <c r="A183" t="s">
        <v>184</v>
      </c>
      <c r="B183" t="s">
        <v>185</v>
      </c>
      <c r="C183" t="s">
        <v>280</v>
      </c>
      <c r="D183" t="s">
        <v>281</v>
      </c>
      <c r="E183" t="s">
        <v>380</v>
      </c>
      <c r="F183" t="s">
        <v>381</v>
      </c>
      <c r="H183">
        <v>4</v>
      </c>
      <c r="I183" s="1">
        <v>0</v>
      </c>
      <c r="J183" s="1">
        <v>0</v>
      </c>
      <c r="K183" s="1">
        <v>18171</v>
      </c>
      <c r="L183" s="1">
        <v>10230</v>
      </c>
      <c r="M183" s="1">
        <v>0</v>
      </c>
      <c r="N183" s="1">
        <v>28401</v>
      </c>
      <c r="O183" s="3">
        <v>0</v>
      </c>
      <c r="P183" s="3">
        <v>1</v>
      </c>
      <c r="Q183" s="3">
        <v>0</v>
      </c>
      <c r="R183" s="3">
        <v>0</v>
      </c>
      <c r="S183" s="3">
        <v>0</v>
      </c>
      <c r="T183" s="1">
        <v>28401</v>
      </c>
      <c r="U183" s="1">
        <v>0</v>
      </c>
      <c r="V183" s="10">
        <f>Table1[[#This Row],[Pop NW+RATAA]]*Table1[[#This Row],[Perc_pop_Northern_Aleppo]]</f>
        <v>0</v>
      </c>
      <c r="W183" s="10">
        <f>Table1[[#This Row],[Pop NW+RATAA]]*Table1[[#This Row],[Perc_pop_Afrin District]]</f>
        <v>0</v>
      </c>
      <c r="X183" s="10">
        <f>Table1[[#This Row],[Pop NW+RATAA]]*Table1[[#This Row],[Perc_pop_Euphrates Shiled]]</f>
        <v>0</v>
      </c>
      <c r="Y183" s="10">
        <f>Table1[[#This Row],[Pop NW+RATAA]]*Table1[[#This Row],[Perc_Pop_Idleb_NSAG]]</f>
        <v>0</v>
      </c>
      <c r="Z183" s="3">
        <v>0</v>
      </c>
      <c r="AA183" s="3">
        <v>0</v>
      </c>
      <c r="AB183" s="3">
        <v>0</v>
      </c>
      <c r="AC183" s="3">
        <v>0</v>
      </c>
      <c r="AD183" s="1">
        <v>0</v>
      </c>
      <c r="AE183" s="1">
        <v>28401</v>
      </c>
      <c r="AF183" s="1">
        <v>0</v>
      </c>
      <c r="AG183" s="1">
        <v>0</v>
      </c>
      <c r="AH183" s="1">
        <v>0</v>
      </c>
      <c r="AI183" s="1">
        <f>Table1[[#This Row],[NWS_pin]]*Table1[[#This Row],[Perc_pop_Northern_Aleppo]]</f>
        <v>0</v>
      </c>
      <c r="AJ183" s="1">
        <f>Table1[[#This Row],[NWS_pin]]*Table1[[#This Row],[Perc_pop_Afrin District]]</f>
        <v>0</v>
      </c>
      <c r="AK183" s="1">
        <f>Table1[[#This Row],[NWS_pin]]*Table1[[#This Row],[Perc_pop_Euphrates Shiled]]</f>
        <v>0</v>
      </c>
      <c r="AL183" s="1">
        <f>Table1[[#This Row],[NWS_pin]]*Table1[[#This Row],[Perc_Pop_Idleb_NSAG]]</f>
        <v>0</v>
      </c>
      <c r="AM183" s="4">
        <v>0.552313069607547</v>
      </c>
      <c r="AN183" s="4">
        <v>0.447686930392453</v>
      </c>
      <c r="AO183" s="4">
        <v>0.346622034416047</v>
      </c>
      <c r="AP183" s="4">
        <v>0.32789713754833</v>
      </c>
      <c r="AQ183" s="4">
        <v>0.61283772222285404</v>
      </c>
      <c r="AR183" s="4">
        <v>8.6548213506143599E-4</v>
      </c>
      <c r="AS183" s="4">
        <v>0</v>
      </c>
      <c r="AT183" s="4">
        <v>5.8399658093753803E-2</v>
      </c>
      <c r="AU183" s="4">
        <v>4.6118705694349997E-2</v>
      </c>
      <c r="AV183" s="4">
        <v>5.0507743172970798E-2</v>
      </c>
      <c r="AW183" s="4">
        <v>4.0703933455377997E-2</v>
      </c>
      <c r="AX183" s="4">
        <v>0.150424516263096</v>
      </c>
      <c r="AY183" s="4">
        <v>0.16269079090510499</v>
      </c>
      <c r="AZ183" s="4">
        <v>0.135291566560413</v>
      </c>
      <c r="BA183" s="4">
        <v>8.5210490870622102E-2</v>
      </c>
      <c r="BB183" s="4">
        <v>8.9393995773056997E-2</v>
      </c>
      <c r="BC183" s="4">
        <v>8.0049284953003494E-2</v>
      </c>
      <c r="BD183" s="4">
        <v>7.9181926142482498E-2</v>
      </c>
      <c r="BE183" s="4">
        <v>8.7650143671393704E-2</v>
      </c>
      <c r="BF183" s="4">
        <v>6.8734653952969793E-2</v>
      </c>
      <c r="BG183" s="4">
        <v>1.8392160379139301E-2</v>
      </c>
      <c r="BH183" s="4">
        <v>3.5945362298217499E-3</v>
      </c>
      <c r="BI183" s="4">
        <v>3.6648045601528498E-2</v>
      </c>
      <c r="BJ183" s="4">
        <v>3.3903990238713801E-2</v>
      </c>
      <c r="BK183" s="4">
        <v>6.5914557099256404E-3</v>
      </c>
      <c r="BL183" s="4">
        <v>6.7599568019224704E-2</v>
      </c>
      <c r="BM183" s="4">
        <v>1.24642511081593E-2</v>
      </c>
      <c r="BN183" s="4">
        <v>1.9229869087110499E-2</v>
      </c>
      <c r="BO183" s="4">
        <v>4.1174824623315997E-3</v>
      </c>
      <c r="BP183" s="4">
        <v>3.0144990008865599E-2</v>
      </c>
      <c r="BQ183" s="4">
        <v>4.9699800545096803E-2</v>
      </c>
      <c r="BR183" s="4">
        <v>6.0201458384270797E-3</v>
      </c>
      <c r="BS183" s="4">
        <v>0.123422805471783</v>
      </c>
      <c r="BT183" s="4">
        <v>0.14777620128994001</v>
      </c>
      <c r="BU183" s="4">
        <v>9.3377928378983593E-2</v>
      </c>
      <c r="BV183" s="4">
        <v>0.110923080084875</v>
      </c>
      <c r="BW183" s="4">
        <v>0.113787145057999</v>
      </c>
      <c r="BX183" s="4">
        <v>0.10738967222891101</v>
      </c>
      <c r="BY183" s="4">
        <v>0.110542761477455</v>
      </c>
      <c r="BZ183" s="4">
        <v>5.1883154659090103E-2</v>
      </c>
      <c r="CA183" s="4">
        <v>0.18291134162658099</v>
      </c>
      <c r="CB183" s="4">
        <v>4.7815525085036698E-2</v>
      </c>
      <c r="CC183" s="4">
        <v>6.0361190308439699E-2</v>
      </c>
      <c r="CD183" s="4">
        <v>3.2337890158924097E-2</v>
      </c>
      <c r="CE183" s="4">
        <v>4.2808057250980303E-2</v>
      </c>
      <c r="CF183" s="4">
        <v>3.3219919886516298E-2</v>
      </c>
      <c r="CG183" s="4">
        <v>5.4636978803243801E-2</v>
      </c>
      <c r="CH183" s="4">
        <v>2.7990531104342499E-2</v>
      </c>
      <c r="CI183" s="4">
        <v>2.0347646498593101E-2</v>
      </c>
      <c r="CJ183" s="4">
        <v>3.74195869259124E-2</v>
      </c>
      <c r="CK183" s="4">
        <v>2.2684098701508299E-2</v>
      </c>
      <c r="CL183" s="4">
        <v>2.1349975219789302E-2</v>
      </c>
      <c r="CM183" s="4">
        <v>2.4330011917642998E-2</v>
      </c>
      <c r="CN183" s="4">
        <v>1.71321407319085E-2</v>
      </c>
      <c r="CO183" s="4">
        <v>1.1002311300096299E-2</v>
      </c>
      <c r="CP183" s="4">
        <v>2.4694534627765601E-2</v>
      </c>
      <c r="CQ183" s="4">
        <v>4.0839969386682697E-2</v>
      </c>
      <c r="CR183" s="4">
        <v>7.0914120685055607E-2</v>
      </c>
      <c r="CS183" s="4">
        <v>3.7373744887589698E-3</v>
      </c>
      <c r="CT183" s="1">
        <f>Table1[[#This Row],[Female %]]*Table1[[#This Row],[NWS_pin]]</f>
        <v>0</v>
      </c>
      <c r="CU183" s="1">
        <f>Table1[[#This Row],[Male %]]*Table1[[#This Row],[NWS_pin]]</f>
        <v>0</v>
      </c>
      <c r="CV183" s="1">
        <f>Table1[[#This Row],[Female% (0-2)22]]+Table1[[#This Row],[Male%(0-2)3]]</f>
        <v>0</v>
      </c>
      <c r="CW183" s="1">
        <f>$CT183*Table1[[#This Row],[Female% (0-2)]]</f>
        <v>0</v>
      </c>
      <c r="CX183" s="1">
        <f>$CU183*Table1[[#This Row],[Male%(0-2)]]</f>
        <v>0</v>
      </c>
      <c r="CY183" s="1">
        <f>Table1[[#This Row],[Female%  (3-5)5]]+Table1[[#This Row],[Male% (3-5)6]]</f>
        <v>0</v>
      </c>
      <c r="CZ183" s="1">
        <f>$AF183*Table1[[#This Row],[Female%  (3-5)]]</f>
        <v>0</v>
      </c>
      <c r="DA183" s="1">
        <f>$CU183*Table1[[#This Row],[Male% (3-5)]]</f>
        <v>0</v>
      </c>
      <c r="DB183" s="1">
        <f>Table1[[#This Row],[Female% (6-8)8]]+Table1[[#This Row],[Male%(6-8)9]]</f>
        <v>0</v>
      </c>
      <c r="DC183" s="1">
        <f>$CT183*Table1[[#This Row],[Female% (6-8)]]</f>
        <v>0</v>
      </c>
      <c r="DD183" s="1">
        <f>$CU183*Table1[[#This Row],[Male%(6-8)]]</f>
        <v>0</v>
      </c>
      <c r="DE183" s="1">
        <f>Table1[[#This Row],[Female% (9 - 11)11]]+Table1[[#This Row],[Male% (9 - 11)12]]</f>
        <v>0</v>
      </c>
      <c r="DF183" s="1">
        <f>$CT183*Table1[[#This Row],[Female% (9 - 11)]]</f>
        <v>0</v>
      </c>
      <c r="DG183" s="1">
        <f>$CU183*Table1[[#This Row],[Male% (9 - 11)]]</f>
        <v>0</v>
      </c>
      <c r="DH183" s="1">
        <f>Table1[[#This Row],[Female% (12-14)14]]+Table1[[#This Row],[Male%(12-14)15]]</f>
        <v>0</v>
      </c>
      <c r="DI183" s="1">
        <f>$CT183*Table1[[#This Row],[Female% (12-14)]]</f>
        <v>0</v>
      </c>
      <c r="DJ183" s="1">
        <f>$CU183*Table1[[#This Row],[Male%(12-14)]]</f>
        <v>0</v>
      </c>
      <c r="DK183" s="1">
        <f>Table1[[#This Row],[Female% (15-17)17]]+Table1[[#This Row],[Male%(15-17)18]]</f>
        <v>0</v>
      </c>
      <c r="DL183" s="1">
        <f>$CT183*Table1[[#This Row],[Female% (15-17)]]</f>
        <v>0</v>
      </c>
      <c r="DM183" s="1">
        <f>$CU183*Table1[[#This Row],[Male%(15-17)]]</f>
        <v>0</v>
      </c>
      <c r="DN183" s="1">
        <f>$AF183*Table1[[#This Row],[Total% (18-19)]]</f>
        <v>0</v>
      </c>
      <c r="DO183" s="1">
        <f>$CT183*Table1[[#This Row],[Female% (18-19)]]</f>
        <v>0</v>
      </c>
      <c r="DP183" s="1">
        <f>$CU183*Table1[[#This Row],[Male%(18-19)]]</f>
        <v>0</v>
      </c>
      <c r="DQ183" s="1">
        <f>$AF183*Table1[[#This Row],[Total% (20-24)]]</f>
        <v>0</v>
      </c>
      <c r="DR183" s="1">
        <f>$CT183*Table1[[#This Row],[Female% (20-24)]]</f>
        <v>0</v>
      </c>
      <c r="DS183" s="1">
        <f>$CU183*Table1[[#This Row],[Male% (20-24)]]</f>
        <v>0</v>
      </c>
      <c r="DT183" s="1">
        <f>$AF183*Table1[[#This Row],[Total% (25-29)]]</f>
        <v>0</v>
      </c>
      <c r="DU183" s="1">
        <f>$CT183*Table1[[#This Row],[Female% (25-29)]]</f>
        <v>0</v>
      </c>
      <c r="DV183" s="1">
        <f>$CU183*Table1[[#This Row],[Male% (25-29)]]</f>
        <v>0</v>
      </c>
      <c r="DW183" s="1">
        <f>$AF183*Table1[[#This Row],[Total%   (30-34)]]</f>
        <v>0</v>
      </c>
      <c r="DX183" s="1">
        <f>$CT183*Table1[[#This Row],[Female%   (30-34)]]</f>
        <v>0</v>
      </c>
      <c r="DY183" s="1">
        <f>$CU183*Table1[[#This Row],[Male%  (30-34)]]</f>
        <v>0</v>
      </c>
      <c r="DZ183" s="1">
        <f>$AF183*Table1[[#This Row],[Total% (35-39)]]</f>
        <v>0</v>
      </c>
      <c r="EA183" s="1">
        <f>$CT183*Table1[[#This Row],[Female% (35-39)]]</f>
        <v>0</v>
      </c>
      <c r="EB183" s="1">
        <f>$CU183*Table1[[#This Row],[Male% (35-39)]]</f>
        <v>0</v>
      </c>
      <c r="EC183" s="1">
        <f>$AF183*Table1[[#This Row],[Total% (40-44)]]</f>
        <v>0</v>
      </c>
      <c r="ED183" s="1">
        <f>$CT183*Table1[[#This Row],[Female% (40-44)]]</f>
        <v>0</v>
      </c>
      <c r="EE183" s="1">
        <f>$CU183*Table1[[#This Row],[Male%(55-59)]]</f>
        <v>0</v>
      </c>
      <c r="EF183" s="1">
        <f>$AF183*Table1[[#This Row],[Total% (45-49)]]</f>
        <v>0</v>
      </c>
      <c r="EG183" s="1">
        <f>$CT183*Table1[[#This Row],[Female% (45-49)]]</f>
        <v>0</v>
      </c>
      <c r="EH183" s="1">
        <f>$CU183*Table1[[#This Row],[Male% (45-49)]]</f>
        <v>0</v>
      </c>
      <c r="EI183" s="1">
        <f>$AF183*Table1[[#This Row],[Total% (50-54)]]</f>
        <v>0</v>
      </c>
      <c r="EJ183" s="1">
        <f>$CT183*Table1[[#This Row],[Female%(50-54)]]</f>
        <v>0</v>
      </c>
      <c r="EK183" s="1">
        <f>$CU183*Table1[[#This Row],[Male% (50-54)]]</f>
        <v>0</v>
      </c>
      <c r="EL183" s="1">
        <f>$AF183*Table1[[#This Row],[Total% (55-59)]]</f>
        <v>0</v>
      </c>
      <c r="EM183" s="1">
        <f>$CT183*Table1[[#This Row],[Female% (55-59)]]</f>
        <v>0</v>
      </c>
      <c r="EN183" s="1">
        <f>$CU183*Table1[[#This Row],[Male% (55-59)]]</f>
        <v>0</v>
      </c>
      <c r="EO183" s="1">
        <f>$AF183*Table1[[#This Row],[Total% (60-64)]]</f>
        <v>0</v>
      </c>
      <c r="EP183" s="1">
        <f>$CT183*Table1[[#This Row],[Female%(60-64)]]</f>
        <v>0</v>
      </c>
      <c r="EQ183" s="1">
        <f>$CU183*Table1[[#This Row],[Male%(60-64)]]</f>
        <v>0</v>
      </c>
      <c r="ER183" s="1">
        <f>$AF183*Table1[[#This Row],[Total% (&gt;=65)]]</f>
        <v>0</v>
      </c>
      <c r="ES183" s="1">
        <f>$CT183*Table1[[#This Row],[Female%(&gt;=65)]]</f>
        <v>0</v>
      </c>
      <c r="ET183" s="1">
        <f>$CU183*Table1[[#This Row],[Male% (&gt;=65)]]</f>
        <v>0</v>
      </c>
    </row>
    <row r="184" spans="1:150" hidden="1" x14ac:dyDescent="0.35">
      <c r="A184" t="s">
        <v>184</v>
      </c>
      <c r="B184" t="s">
        <v>185</v>
      </c>
      <c r="C184" t="s">
        <v>316</v>
      </c>
      <c r="D184" t="s">
        <v>317</v>
      </c>
      <c r="E184" t="s">
        <v>316</v>
      </c>
      <c r="F184" t="s">
        <v>429</v>
      </c>
      <c r="H184">
        <v>4</v>
      </c>
      <c r="I184" s="1">
        <v>0</v>
      </c>
      <c r="J184" s="1">
        <v>0</v>
      </c>
      <c r="K184" s="1">
        <v>19683</v>
      </c>
      <c r="L184" s="1">
        <v>66329</v>
      </c>
      <c r="M184" s="1">
        <v>0</v>
      </c>
      <c r="N184" s="1">
        <v>86012</v>
      </c>
      <c r="O184" s="3">
        <v>0</v>
      </c>
      <c r="P184" s="3">
        <v>1</v>
      </c>
      <c r="Q184" s="3">
        <v>0</v>
      </c>
      <c r="R184" s="3">
        <v>0</v>
      </c>
      <c r="S184" s="3">
        <v>0</v>
      </c>
      <c r="T184" s="1">
        <v>86012</v>
      </c>
      <c r="U184" s="1">
        <v>0</v>
      </c>
      <c r="V184" s="10">
        <f>Table1[[#This Row],[Pop NW+RATAA]]*Table1[[#This Row],[Perc_pop_Northern_Aleppo]]</f>
        <v>0</v>
      </c>
      <c r="W184" s="10">
        <f>Table1[[#This Row],[Pop NW+RATAA]]*Table1[[#This Row],[Perc_pop_Afrin District]]</f>
        <v>0</v>
      </c>
      <c r="X184" s="10">
        <f>Table1[[#This Row],[Pop NW+RATAA]]*Table1[[#This Row],[Perc_pop_Euphrates Shiled]]</f>
        <v>0</v>
      </c>
      <c r="Y184" s="10">
        <f>Table1[[#This Row],[Pop NW+RATAA]]*Table1[[#This Row],[Perc_Pop_Idleb_NSAG]]</f>
        <v>0</v>
      </c>
      <c r="Z184" s="3">
        <v>0</v>
      </c>
      <c r="AA184" s="3">
        <v>0</v>
      </c>
      <c r="AB184" s="3">
        <v>0</v>
      </c>
      <c r="AC184" s="3">
        <v>0</v>
      </c>
      <c r="AD184" s="1">
        <v>0</v>
      </c>
      <c r="AE184" s="1">
        <v>86012</v>
      </c>
      <c r="AF184" s="1">
        <v>0</v>
      </c>
      <c r="AG184" s="1">
        <v>0</v>
      </c>
      <c r="AH184" s="1">
        <v>0</v>
      </c>
      <c r="AI184" s="1">
        <f>Table1[[#This Row],[NWS_pin]]*Table1[[#This Row],[Perc_pop_Northern_Aleppo]]</f>
        <v>0</v>
      </c>
      <c r="AJ184" s="1">
        <f>Table1[[#This Row],[NWS_pin]]*Table1[[#This Row],[Perc_pop_Afrin District]]</f>
        <v>0</v>
      </c>
      <c r="AK184" s="1">
        <f>Table1[[#This Row],[NWS_pin]]*Table1[[#This Row],[Perc_pop_Euphrates Shiled]]</f>
        <v>0</v>
      </c>
      <c r="AL184" s="1">
        <f>Table1[[#This Row],[NWS_pin]]*Table1[[#This Row],[Perc_Pop_Idleb_NSAG]]</f>
        <v>0</v>
      </c>
      <c r="AM184" s="4">
        <v>0.51131815863972896</v>
      </c>
      <c r="AN184" s="4">
        <v>0.48868184136027198</v>
      </c>
      <c r="AO184" s="4">
        <v>0.115157610385572</v>
      </c>
      <c r="AP184" s="4">
        <v>0.39740887435216299</v>
      </c>
      <c r="AQ184" s="4">
        <v>0.52981803248950798</v>
      </c>
      <c r="AR184" s="4">
        <v>1.1528355704137801E-2</v>
      </c>
      <c r="AS184" s="4">
        <v>2.0031895228736401E-3</v>
      </c>
      <c r="AT184" s="4">
        <v>5.92415479313173E-2</v>
      </c>
      <c r="AU184" s="4">
        <v>6.6276749134004997E-2</v>
      </c>
      <c r="AV184" s="4">
        <v>6.5520256334645005E-2</v>
      </c>
      <c r="AW184" s="4">
        <v>6.7068283568999104E-2</v>
      </c>
      <c r="AX184" s="4">
        <v>0.106631235603383</v>
      </c>
      <c r="AY184" s="4">
        <v>8.5656659791758197E-2</v>
      </c>
      <c r="AZ184" s="4">
        <v>0.12857737841973299</v>
      </c>
      <c r="BA184" s="4">
        <v>9.0615603734768096E-2</v>
      </c>
      <c r="BB184" s="4">
        <v>8.6015163772699896E-2</v>
      </c>
      <c r="BC184" s="4">
        <v>9.5429141483152E-2</v>
      </c>
      <c r="BD184" s="4">
        <v>0.110105765680224</v>
      </c>
      <c r="BE184" s="4">
        <v>8.4751372760747207E-2</v>
      </c>
      <c r="BF184" s="4">
        <v>0.136634603880817</v>
      </c>
      <c r="BG184" s="4">
        <v>4.7515429656591203E-2</v>
      </c>
      <c r="BH184" s="4">
        <v>4.2642200131193499E-2</v>
      </c>
      <c r="BI184" s="4">
        <v>5.2614392901509703E-2</v>
      </c>
      <c r="BJ184" s="4">
        <v>4.3789892915545699E-2</v>
      </c>
      <c r="BK184" s="4">
        <v>4.6210045505073703E-2</v>
      </c>
      <c r="BL184" s="4">
        <v>4.1257636013467998E-2</v>
      </c>
      <c r="BM184" s="4">
        <v>1.53307485361608E-2</v>
      </c>
      <c r="BN184" s="4">
        <v>1.19286396536353E-2</v>
      </c>
      <c r="BO184" s="4">
        <v>1.8890447100901101E-2</v>
      </c>
      <c r="BP184" s="4">
        <v>4.4438290165462198E-2</v>
      </c>
      <c r="BQ184" s="4">
        <v>7.8784903629487493E-2</v>
      </c>
      <c r="BR184" s="4">
        <v>8.5007011954054794E-3</v>
      </c>
      <c r="BS184" s="4">
        <v>8.5075873468024102E-2</v>
      </c>
      <c r="BT184" s="4">
        <v>9.2206020287714505E-2</v>
      </c>
      <c r="BU184" s="4">
        <v>7.7615449867002306E-2</v>
      </c>
      <c r="BV184" s="4">
        <v>7.0666068822422698E-2</v>
      </c>
      <c r="BW184" s="4">
        <v>8.1897956183419898E-2</v>
      </c>
      <c r="BX184" s="4">
        <v>5.8913907237110201E-2</v>
      </c>
      <c r="BY184" s="4">
        <v>0.10131525733678</v>
      </c>
      <c r="BZ184" s="4">
        <v>0.112958844258821</v>
      </c>
      <c r="CA184" s="4">
        <v>8.9132325782851601E-2</v>
      </c>
      <c r="CB184" s="4">
        <v>5.4319424662833397E-2</v>
      </c>
      <c r="CC184" s="4">
        <v>4.7429130984630703E-2</v>
      </c>
      <c r="CD184" s="4">
        <v>6.1528884842934901E-2</v>
      </c>
      <c r="CE184" s="4">
        <v>4.48352411598179E-2</v>
      </c>
      <c r="CF184" s="4">
        <v>3.1616268343238801E-2</v>
      </c>
      <c r="CG184" s="4">
        <v>5.8666532334598398E-2</v>
      </c>
      <c r="CH184" s="4">
        <v>2.9931775421568101E-2</v>
      </c>
      <c r="CI184" s="4">
        <v>1.9356635805520599E-2</v>
      </c>
      <c r="CJ184" s="4">
        <v>4.09967679344556E-2</v>
      </c>
      <c r="CK184" s="4">
        <v>4.1061349369626E-2</v>
      </c>
      <c r="CL184" s="4">
        <v>5.8949402794267698E-2</v>
      </c>
      <c r="CM184" s="4">
        <v>2.2344700285065799E-2</v>
      </c>
      <c r="CN184" s="4">
        <v>2.7419510822739201E-2</v>
      </c>
      <c r="CO184" s="4">
        <v>2.8198874280305399E-2</v>
      </c>
      <c r="CP184" s="4">
        <v>2.6604046333769001E-2</v>
      </c>
      <c r="CQ184" s="4">
        <v>2.0671783510049099E-2</v>
      </c>
      <c r="CR184" s="4">
        <v>2.58776254828413E-2</v>
      </c>
      <c r="CS184" s="4">
        <v>1.52248008182262E-2</v>
      </c>
      <c r="CT184" s="1">
        <f>Table1[[#This Row],[Female %]]*Table1[[#This Row],[NWS_pin]]</f>
        <v>0</v>
      </c>
      <c r="CU184" s="1">
        <f>Table1[[#This Row],[Male %]]*Table1[[#This Row],[NWS_pin]]</f>
        <v>0</v>
      </c>
      <c r="CV184" s="1">
        <f>Table1[[#This Row],[Female% (0-2)22]]+Table1[[#This Row],[Male%(0-2)3]]</f>
        <v>0</v>
      </c>
      <c r="CW184" s="1">
        <f>$CT184*Table1[[#This Row],[Female% (0-2)]]</f>
        <v>0</v>
      </c>
      <c r="CX184" s="1">
        <f>$CU184*Table1[[#This Row],[Male%(0-2)]]</f>
        <v>0</v>
      </c>
      <c r="CY184" s="1">
        <f>Table1[[#This Row],[Female%  (3-5)5]]+Table1[[#This Row],[Male% (3-5)6]]</f>
        <v>0</v>
      </c>
      <c r="CZ184" s="1">
        <f>$AF184*Table1[[#This Row],[Female%  (3-5)]]</f>
        <v>0</v>
      </c>
      <c r="DA184" s="1">
        <f>$CU184*Table1[[#This Row],[Male% (3-5)]]</f>
        <v>0</v>
      </c>
      <c r="DB184" s="1">
        <f>Table1[[#This Row],[Female% (6-8)8]]+Table1[[#This Row],[Male%(6-8)9]]</f>
        <v>0</v>
      </c>
      <c r="DC184" s="1">
        <f>$CT184*Table1[[#This Row],[Female% (6-8)]]</f>
        <v>0</v>
      </c>
      <c r="DD184" s="1">
        <f>$CU184*Table1[[#This Row],[Male%(6-8)]]</f>
        <v>0</v>
      </c>
      <c r="DE184" s="1">
        <f>Table1[[#This Row],[Female% (9 - 11)11]]+Table1[[#This Row],[Male% (9 - 11)12]]</f>
        <v>0</v>
      </c>
      <c r="DF184" s="1">
        <f>$CT184*Table1[[#This Row],[Female% (9 - 11)]]</f>
        <v>0</v>
      </c>
      <c r="DG184" s="1">
        <f>$CU184*Table1[[#This Row],[Male% (9 - 11)]]</f>
        <v>0</v>
      </c>
      <c r="DH184" s="1">
        <f>Table1[[#This Row],[Female% (12-14)14]]+Table1[[#This Row],[Male%(12-14)15]]</f>
        <v>0</v>
      </c>
      <c r="DI184" s="1">
        <f>$CT184*Table1[[#This Row],[Female% (12-14)]]</f>
        <v>0</v>
      </c>
      <c r="DJ184" s="1">
        <f>$CU184*Table1[[#This Row],[Male%(12-14)]]</f>
        <v>0</v>
      </c>
      <c r="DK184" s="1">
        <f>Table1[[#This Row],[Female% (15-17)17]]+Table1[[#This Row],[Male%(15-17)18]]</f>
        <v>0</v>
      </c>
      <c r="DL184" s="1">
        <f>$CT184*Table1[[#This Row],[Female% (15-17)]]</f>
        <v>0</v>
      </c>
      <c r="DM184" s="1">
        <f>$CU184*Table1[[#This Row],[Male%(15-17)]]</f>
        <v>0</v>
      </c>
      <c r="DN184" s="1">
        <f>$AF184*Table1[[#This Row],[Total% (18-19)]]</f>
        <v>0</v>
      </c>
      <c r="DO184" s="1">
        <f>$CT184*Table1[[#This Row],[Female% (18-19)]]</f>
        <v>0</v>
      </c>
      <c r="DP184" s="1">
        <f>$CU184*Table1[[#This Row],[Male%(18-19)]]</f>
        <v>0</v>
      </c>
      <c r="DQ184" s="1">
        <f>$AF184*Table1[[#This Row],[Total% (20-24)]]</f>
        <v>0</v>
      </c>
      <c r="DR184" s="1">
        <f>$CT184*Table1[[#This Row],[Female% (20-24)]]</f>
        <v>0</v>
      </c>
      <c r="DS184" s="1">
        <f>$CU184*Table1[[#This Row],[Male% (20-24)]]</f>
        <v>0</v>
      </c>
      <c r="DT184" s="1">
        <f>$AF184*Table1[[#This Row],[Total% (25-29)]]</f>
        <v>0</v>
      </c>
      <c r="DU184" s="1">
        <f>$CT184*Table1[[#This Row],[Female% (25-29)]]</f>
        <v>0</v>
      </c>
      <c r="DV184" s="1">
        <f>$CU184*Table1[[#This Row],[Male% (25-29)]]</f>
        <v>0</v>
      </c>
      <c r="DW184" s="1">
        <f>$AF184*Table1[[#This Row],[Total%   (30-34)]]</f>
        <v>0</v>
      </c>
      <c r="DX184" s="1">
        <f>$CT184*Table1[[#This Row],[Female%   (30-34)]]</f>
        <v>0</v>
      </c>
      <c r="DY184" s="1">
        <f>$CU184*Table1[[#This Row],[Male%  (30-34)]]</f>
        <v>0</v>
      </c>
      <c r="DZ184" s="1">
        <f>$AF184*Table1[[#This Row],[Total% (35-39)]]</f>
        <v>0</v>
      </c>
      <c r="EA184" s="1">
        <f>$CT184*Table1[[#This Row],[Female% (35-39)]]</f>
        <v>0</v>
      </c>
      <c r="EB184" s="1">
        <f>$CU184*Table1[[#This Row],[Male% (35-39)]]</f>
        <v>0</v>
      </c>
      <c r="EC184" s="1">
        <f>$AF184*Table1[[#This Row],[Total% (40-44)]]</f>
        <v>0</v>
      </c>
      <c r="ED184" s="1">
        <f>$CT184*Table1[[#This Row],[Female% (40-44)]]</f>
        <v>0</v>
      </c>
      <c r="EE184" s="1">
        <f>$CU184*Table1[[#This Row],[Male%(55-59)]]</f>
        <v>0</v>
      </c>
      <c r="EF184" s="1">
        <f>$AF184*Table1[[#This Row],[Total% (45-49)]]</f>
        <v>0</v>
      </c>
      <c r="EG184" s="1">
        <f>$CT184*Table1[[#This Row],[Female% (45-49)]]</f>
        <v>0</v>
      </c>
      <c r="EH184" s="1">
        <f>$CU184*Table1[[#This Row],[Male% (45-49)]]</f>
        <v>0</v>
      </c>
      <c r="EI184" s="1">
        <f>$AF184*Table1[[#This Row],[Total% (50-54)]]</f>
        <v>0</v>
      </c>
      <c r="EJ184" s="1">
        <f>$CT184*Table1[[#This Row],[Female%(50-54)]]</f>
        <v>0</v>
      </c>
      <c r="EK184" s="1">
        <f>$CU184*Table1[[#This Row],[Male% (50-54)]]</f>
        <v>0</v>
      </c>
      <c r="EL184" s="1">
        <f>$AF184*Table1[[#This Row],[Total% (55-59)]]</f>
        <v>0</v>
      </c>
      <c r="EM184" s="1">
        <f>$CT184*Table1[[#This Row],[Female% (55-59)]]</f>
        <v>0</v>
      </c>
      <c r="EN184" s="1">
        <f>$CU184*Table1[[#This Row],[Male% (55-59)]]</f>
        <v>0</v>
      </c>
      <c r="EO184" s="1">
        <f>$AF184*Table1[[#This Row],[Total% (60-64)]]</f>
        <v>0</v>
      </c>
      <c r="EP184" s="1">
        <f>$CT184*Table1[[#This Row],[Female%(60-64)]]</f>
        <v>0</v>
      </c>
      <c r="EQ184" s="1">
        <f>$CU184*Table1[[#This Row],[Male%(60-64)]]</f>
        <v>0</v>
      </c>
      <c r="ER184" s="1">
        <f>$AF184*Table1[[#This Row],[Total% (&gt;=65)]]</f>
        <v>0</v>
      </c>
      <c r="ES184" s="1">
        <f>$CT184*Table1[[#This Row],[Female%(&gt;=65)]]</f>
        <v>0</v>
      </c>
      <c r="ET184" s="1">
        <f>$CU184*Table1[[#This Row],[Male% (&gt;=65)]]</f>
        <v>0</v>
      </c>
    </row>
    <row r="185" spans="1:150" hidden="1" x14ac:dyDescent="0.35">
      <c r="A185" t="s">
        <v>184</v>
      </c>
      <c r="B185" t="s">
        <v>185</v>
      </c>
      <c r="C185" t="s">
        <v>316</v>
      </c>
      <c r="D185" t="s">
        <v>317</v>
      </c>
      <c r="E185" t="s">
        <v>346</v>
      </c>
      <c r="F185" t="s">
        <v>347</v>
      </c>
      <c r="H185">
        <v>3</v>
      </c>
      <c r="I185" s="1">
        <v>0</v>
      </c>
      <c r="J185" s="1">
        <v>0</v>
      </c>
      <c r="K185" s="1">
        <v>25530</v>
      </c>
      <c r="L185" s="1">
        <v>1867</v>
      </c>
      <c r="M185" s="1">
        <v>0</v>
      </c>
      <c r="N185" s="1">
        <v>27397</v>
      </c>
      <c r="O185" s="3">
        <v>0</v>
      </c>
      <c r="P185" s="3">
        <v>1</v>
      </c>
      <c r="Q185" s="3">
        <v>0</v>
      </c>
      <c r="R185" s="3">
        <v>0</v>
      </c>
      <c r="S185" s="3">
        <v>0</v>
      </c>
      <c r="T185" s="1">
        <v>27397</v>
      </c>
      <c r="U185" s="1">
        <v>0</v>
      </c>
      <c r="V185" s="10">
        <f>Table1[[#This Row],[Pop NW+RATAA]]*Table1[[#This Row],[Perc_pop_Northern_Aleppo]]</f>
        <v>0</v>
      </c>
      <c r="W185" s="10">
        <f>Table1[[#This Row],[Pop NW+RATAA]]*Table1[[#This Row],[Perc_pop_Afrin District]]</f>
        <v>0</v>
      </c>
      <c r="X185" s="10">
        <f>Table1[[#This Row],[Pop NW+RATAA]]*Table1[[#This Row],[Perc_pop_Euphrates Shiled]]</f>
        <v>0</v>
      </c>
      <c r="Y185" s="10">
        <f>Table1[[#This Row],[Pop NW+RATAA]]*Table1[[#This Row],[Perc_Pop_Idleb_NSAG]]</f>
        <v>0</v>
      </c>
      <c r="Z185" s="3">
        <v>0</v>
      </c>
      <c r="AA185" s="3">
        <v>0</v>
      </c>
      <c r="AB185" s="3">
        <v>0</v>
      </c>
      <c r="AC185" s="3">
        <v>0</v>
      </c>
      <c r="AD185" s="1">
        <v>0</v>
      </c>
      <c r="AE185" s="1">
        <v>27397</v>
      </c>
      <c r="AF185" s="1">
        <v>0</v>
      </c>
      <c r="AG185" s="1">
        <v>0</v>
      </c>
      <c r="AH185" s="1">
        <v>0</v>
      </c>
      <c r="AI185" s="1">
        <f>Table1[[#This Row],[NWS_pin]]*Table1[[#This Row],[Perc_pop_Northern_Aleppo]]</f>
        <v>0</v>
      </c>
      <c r="AJ185" s="1">
        <f>Table1[[#This Row],[NWS_pin]]*Table1[[#This Row],[Perc_pop_Afrin District]]</f>
        <v>0</v>
      </c>
      <c r="AK185" s="1">
        <f>Table1[[#This Row],[NWS_pin]]*Table1[[#This Row],[Perc_pop_Euphrates Shiled]]</f>
        <v>0</v>
      </c>
      <c r="AL185" s="1">
        <f>Table1[[#This Row],[NWS_pin]]*Table1[[#This Row],[Perc_Pop_Idleb_NSAG]]</f>
        <v>0</v>
      </c>
      <c r="AM185" s="4">
        <v>0.47007587232571602</v>
      </c>
      <c r="AN185" s="4">
        <v>0.52992412767428398</v>
      </c>
      <c r="AO185" s="4">
        <v>0.26948290811634601</v>
      </c>
      <c r="AP185" s="4">
        <v>0.401488350717076</v>
      </c>
      <c r="AQ185" s="4">
        <v>0.585430781746058</v>
      </c>
      <c r="AR185" s="4">
        <v>0</v>
      </c>
      <c r="AS185" s="4">
        <v>0</v>
      </c>
      <c r="AT185" s="4">
        <v>1.30808675368664E-2</v>
      </c>
      <c r="AU185" s="4">
        <v>3.1135353085217699E-2</v>
      </c>
      <c r="AV185" s="4">
        <v>5.4104814991213099E-2</v>
      </c>
      <c r="AW185" s="4">
        <v>1.07600025804192E-2</v>
      </c>
      <c r="AX185" s="4">
        <v>0.14123050062915399</v>
      </c>
      <c r="AY185" s="4">
        <v>0.14575616585031101</v>
      </c>
      <c r="AZ185" s="4">
        <v>0.137215952289892</v>
      </c>
      <c r="BA185" s="4">
        <v>0.13831609679120299</v>
      </c>
      <c r="BB185" s="4">
        <v>0.119801756472329</v>
      </c>
      <c r="BC185" s="4">
        <v>0.154739475575871</v>
      </c>
      <c r="BD185" s="4">
        <v>0.11548045732477399</v>
      </c>
      <c r="BE185" s="4">
        <v>8.7346042450516206E-2</v>
      </c>
      <c r="BF185" s="4">
        <v>0.14043744441730899</v>
      </c>
      <c r="BG185" s="4">
        <v>5.2357246253503402E-2</v>
      </c>
      <c r="BH185" s="4">
        <v>3.2273417764259002E-2</v>
      </c>
      <c r="BI185" s="4">
        <v>7.0172859288818001E-2</v>
      </c>
      <c r="BJ185" s="4">
        <v>3.9701989559638301E-2</v>
      </c>
      <c r="BK185" s="4">
        <v>1.9099225979505498E-2</v>
      </c>
      <c r="BL185" s="4">
        <v>5.7977930503780799E-2</v>
      </c>
      <c r="BM185" s="4">
        <v>4.7911813205890001E-3</v>
      </c>
      <c r="BN185" s="4">
        <v>1.01923574526054E-2</v>
      </c>
      <c r="BO185" s="4">
        <v>0</v>
      </c>
      <c r="BP185" s="4">
        <v>1.43149399728804E-2</v>
      </c>
      <c r="BQ185" s="4">
        <v>2.52383730537886E-2</v>
      </c>
      <c r="BR185" s="4">
        <v>4.6251710679710003E-3</v>
      </c>
      <c r="BS185" s="4">
        <v>4.0650565322463098E-2</v>
      </c>
      <c r="BT185" s="4">
        <v>8.1869687557525606E-2</v>
      </c>
      <c r="BU185" s="4">
        <v>4.0866237518373903E-3</v>
      </c>
      <c r="BV185" s="4">
        <v>0.108912461054673</v>
      </c>
      <c r="BW185" s="4">
        <v>0.114209011181595</v>
      </c>
      <c r="BX185" s="4">
        <v>0.10421408954976299</v>
      </c>
      <c r="BY185" s="4">
        <v>0.10150989209387901</v>
      </c>
      <c r="BZ185" s="4">
        <v>0.11063061518737199</v>
      </c>
      <c r="CA185" s="4">
        <v>9.3419239790064501E-2</v>
      </c>
      <c r="CB185" s="4">
        <v>9.9214263966711694E-2</v>
      </c>
      <c r="CC185" s="4">
        <v>0.123442649402578</v>
      </c>
      <c r="CD185" s="4">
        <v>7.7722169487464299E-2</v>
      </c>
      <c r="CE185" s="4">
        <v>6.4972594241394996E-2</v>
      </c>
      <c r="CF185" s="4">
        <v>3.40752774782795E-2</v>
      </c>
      <c r="CG185" s="4">
        <v>9.2380448255682701E-2</v>
      </c>
      <c r="CH185" s="4">
        <v>3.1706741976862102E-2</v>
      </c>
      <c r="CI185" s="4">
        <v>1.9816885600738399E-2</v>
      </c>
      <c r="CJ185" s="4">
        <v>4.2253788838765301E-2</v>
      </c>
      <c r="CK185" s="4">
        <v>8.9335981704567104E-3</v>
      </c>
      <c r="CL185" s="4">
        <v>7.7372830098264601E-3</v>
      </c>
      <c r="CM185" s="4">
        <v>9.9948046023619896E-3</v>
      </c>
      <c r="CN185" s="4">
        <v>1.9473617140445801E-3</v>
      </c>
      <c r="CO185" s="4">
        <v>4.14265404520752E-3</v>
      </c>
      <c r="CP185" s="4">
        <v>0</v>
      </c>
      <c r="CQ185" s="4">
        <v>4.8247565225552997E-3</v>
      </c>
      <c r="CR185" s="4">
        <v>1.02637825223504E-2</v>
      </c>
      <c r="CS185" s="4">
        <v>0</v>
      </c>
      <c r="CT185" s="1">
        <f>Table1[[#This Row],[Female %]]*Table1[[#This Row],[NWS_pin]]</f>
        <v>0</v>
      </c>
      <c r="CU185" s="1">
        <f>Table1[[#This Row],[Male %]]*Table1[[#This Row],[NWS_pin]]</f>
        <v>0</v>
      </c>
      <c r="CV185" s="1">
        <f>Table1[[#This Row],[Female% (0-2)22]]+Table1[[#This Row],[Male%(0-2)3]]</f>
        <v>0</v>
      </c>
      <c r="CW185" s="1">
        <f>$CT185*Table1[[#This Row],[Female% (0-2)]]</f>
        <v>0</v>
      </c>
      <c r="CX185" s="1">
        <f>$CU185*Table1[[#This Row],[Male%(0-2)]]</f>
        <v>0</v>
      </c>
      <c r="CY185" s="1">
        <f>Table1[[#This Row],[Female%  (3-5)5]]+Table1[[#This Row],[Male% (3-5)6]]</f>
        <v>0</v>
      </c>
      <c r="CZ185" s="1">
        <f>$AF185*Table1[[#This Row],[Female%  (3-5)]]</f>
        <v>0</v>
      </c>
      <c r="DA185" s="1">
        <f>$CU185*Table1[[#This Row],[Male% (3-5)]]</f>
        <v>0</v>
      </c>
      <c r="DB185" s="1">
        <f>Table1[[#This Row],[Female% (6-8)8]]+Table1[[#This Row],[Male%(6-8)9]]</f>
        <v>0</v>
      </c>
      <c r="DC185" s="1">
        <f>$CT185*Table1[[#This Row],[Female% (6-8)]]</f>
        <v>0</v>
      </c>
      <c r="DD185" s="1">
        <f>$CU185*Table1[[#This Row],[Male%(6-8)]]</f>
        <v>0</v>
      </c>
      <c r="DE185" s="1">
        <f>Table1[[#This Row],[Female% (9 - 11)11]]+Table1[[#This Row],[Male% (9 - 11)12]]</f>
        <v>0</v>
      </c>
      <c r="DF185" s="1">
        <f>$CT185*Table1[[#This Row],[Female% (9 - 11)]]</f>
        <v>0</v>
      </c>
      <c r="DG185" s="1">
        <f>$CU185*Table1[[#This Row],[Male% (9 - 11)]]</f>
        <v>0</v>
      </c>
      <c r="DH185" s="1">
        <f>Table1[[#This Row],[Female% (12-14)14]]+Table1[[#This Row],[Male%(12-14)15]]</f>
        <v>0</v>
      </c>
      <c r="DI185" s="1">
        <f>$CT185*Table1[[#This Row],[Female% (12-14)]]</f>
        <v>0</v>
      </c>
      <c r="DJ185" s="1">
        <f>$CU185*Table1[[#This Row],[Male%(12-14)]]</f>
        <v>0</v>
      </c>
      <c r="DK185" s="1">
        <f>Table1[[#This Row],[Female% (15-17)17]]+Table1[[#This Row],[Male%(15-17)18]]</f>
        <v>0</v>
      </c>
      <c r="DL185" s="1">
        <f>$CT185*Table1[[#This Row],[Female% (15-17)]]</f>
        <v>0</v>
      </c>
      <c r="DM185" s="1">
        <f>$CU185*Table1[[#This Row],[Male%(15-17)]]</f>
        <v>0</v>
      </c>
      <c r="DN185" s="1">
        <f>$AF185*Table1[[#This Row],[Total% (18-19)]]</f>
        <v>0</v>
      </c>
      <c r="DO185" s="1">
        <f>$CT185*Table1[[#This Row],[Female% (18-19)]]</f>
        <v>0</v>
      </c>
      <c r="DP185" s="1">
        <f>$CU185*Table1[[#This Row],[Male%(18-19)]]</f>
        <v>0</v>
      </c>
      <c r="DQ185" s="1">
        <f>$AF185*Table1[[#This Row],[Total% (20-24)]]</f>
        <v>0</v>
      </c>
      <c r="DR185" s="1">
        <f>$CT185*Table1[[#This Row],[Female% (20-24)]]</f>
        <v>0</v>
      </c>
      <c r="DS185" s="1">
        <f>$CU185*Table1[[#This Row],[Male% (20-24)]]</f>
        <v>0</v>
      </c>
      <c r="DT185" s="1">
        <f>$AF185*Table1[[#This Row],[Total% (25-29)]]</f>
        <v>0</v>
      </c>
      <c r="DU185" s="1">
        <f>$CT185*Table1[[#This Row],[Female% (25-29)]]</f>
        <v>0</v>
      </c>
      <c r="DV185" s="1">
        <f>$CU185*Table1[[#This Row],[Male% (25-29)]]</f>
        <v>0</v>
      </c>
      <c r="DW185" s="1">
        <f>$AF185*Table1[[#This Row],[Total%   (30-34)]]</f>
        <v>0</v>
      </c>
      <c r="DX185" s="1">
        <f>$CT185*Table1[[#This Row],[Female%   (30-34)]]</f>
        <v>0</v>
      </c>
      <c r="DY185" s="1">
        <f>$CU185*Table1[[#This Row],[Male%  (30-34)]]</f>
        <v>0</v>
      </c>
      <c r="DZ185" s="1">
        <f>$AF185*Table1[[#This Row],[Total% (35-39)]]</f>
        <v>0</v>
      </c>
      <c r="EA185" s="1">
        <f>$CT185*Table1[[#This Row],[Female% (35-39)]]</f>
        <v>0</v>
      </c>
      <c r="EB185" s="1">
        <f>$CU185*Table1[[#This Row],[Male% (35-39)]]</f>
        <v>0</v>
      </c>
      <c r="EC185" s="1">
        <f>$AF185*Table1[[#This Row],[Total% (40-44)]]</f>
        <v>0</v>
      </c>
      <c r="ED185" s="1">
        <f>$CT185*Table1[[#This Row],[Female% (40-44)]]</f>
        <v>0</v>
      </c>
      <c r="EE185" s="1">
        <f>$CU185*Table1[[#This Row],[Male%(55-59)]]</f>
        <v>0</v>
      </c>
      <c r="EF185" s="1">
        <f>$AF185*Table1[[#This Row],[Total% (45-49)]]</f>
        <v>0</v>
      </c>
      <c r="EG185" s="1">
        <f>$CT185*Table1[[#This Row],[Female% (45-49)]]</f>
        <v>0</v>
      </c>
      <c r="EH185" s="1">
        <f>$CU185*Table1[[#This Row],[Male% (45-49)]]</f>
        <v>0</v>
      </c>
      <c r="EI185" s="1">
        <f>$AF185*Table1[[#This Row],[Total% (50-54)]]</f>
        <v>0</v>
      </c>
      <c r="EJ185" s="1">
        <f>$CT185*Table1[[#This Row],[Female%(50-54)]]</f>
        <v>0</v>
      </c>
      <c r="EK185" s="1">
        <f>$CU185*Table1[[#This Row],[Male% (50-54)]]</f>
        <v>0</v>
      </c>
      <c r="EL185" s="1">
        <f>$AF185*Table1[[#This Row],[Total% (55-59)]]</f>
        <v>0</v>
      </c>
      <c r="EM185" s="1">
        <f>$CT185*Table1[[#This Row],[Female% (55-59)]]</f>
        <v>0</v>
      </c>
      <c r="EN185" s="1">
        <f>$CU185*Table1[[#This Row],[Male% (55-59)]]</f>
        <v>0</v>
      </c>
      <c r="EO185" s="1">
        <f>$AF185*Table1[[#This Row],[Total% (60-64)]]</f>
        <v>0</v>
      </c>
      <c r="EP185" s="1">
        <f>$CT185*Table1[[#This Row],[Female%(60-64)]]</f>
        <v>0</v>
      </c>
      <c r="EQ185" s="1">
        <f>$CU185*Table1[[#This Row],[Male%(60-64)]]</f>
        <v>0</v>
      </c>
      <c r="ER185" s="1">
        <f>$AF185*Table1[[#This Row],[Total% (&gt;=65)]]</f>
        <v>0</v>
      </c>
      <c r="ES185" s="1">
        <f>$CT185*Table1[[#This Row],[Female%(&gt;=65)]]</f>
        <v>0</v>
      </c>
      <c r="ET185" s="1">
        <f>$CU185*Table1[[#This Row],[Male% (&gt;=65)]]</f>
        <v>0</v>
      </c>
    </row>
    <row r="186" spans="1:150" hidden="1" x14ac:dyDescent="0.35">
      <c r="A186" t="s">
        <v>184</v>
      </c>
      <c r="B186" t="s">
        <v>185</v>
      </c>
      <c r="C186" t="s">
        <v>316</v>
      </c>
      <c r="D186" t="s">
        <v>317</v>
      </c>
      <c r="E186" t="s">
        <v>318</v>
      </c>
      <c r="F186" t="s">
        <v>319</v>
      </c>
      <c r="H186">
        <v>4</v>
      </c>
      <c r="I186" s="1">
        <v>0</v>
      </c>
      <c r="J186" s="1">
        <v>0</v>
      </c>
      <c r="K186" s="1">
        <v>10909</v>
      </c>
      <c r="L186" s="1">
        <v>16809</v>
      </c>
      <c r="M186" s="1">
        <v>0</v>
      </c>
      <c r="N186" s="1">
        <v>27718</v>
      </c>
      <c r="O186" s="3">
        <v>0</v>
      </c>
      <c r="P186" s="3">
        <v>1</v>
      </c>
      <c r="Q186" s="3">
        <v>0</v>
      </c>
      <c r="R186" s="3">
        <v>0</v>
      </c>
      <c r="S186" s="3">
        <v>0</v>
      </c>
      <c r="T186" s="1">
        <v>27718</v>
      </c>
      <c r="U186" s="1">
        <v>0</v>
      </c>
      <c r="V186" s="10">
        <f>Table1[[#This Row],[Pop NW+RATAA]]*Table1[[#This Row],[Perc_pop_Northern_Aleppo]]</f>
        <v>0</v>
      </c>
      <c r="W186" s="10">
        <f>Table1[[#This Row],[Pop NW+RATAA]]*Table1[[#This Row],[Perc_pop_Afrin District]]</f>
        <v>0</v>
      </c>
      <c r="X186" s="10">
        <f>Table1[[#This Row],[Pop NW+RATAA]]*Table1[[#This Row],[Perc_pop_Euphrates Shiled]]</f>
        <v>0</v>
      </c>
      <c r="Y186" s="10">
        <f>Table1[[#This Row],[Pop NW+RATAA]]*Table1[[#This Row],[Perc_Pop_Idleb_NSAG]]</f>
        <v>0</v>
      </c>
      <c r="Z186" s="3">
        <v>0</v>
      </c>
      <c r="AA186" s="3">
        <v>0</v>
      </c>
      <c r="AB186" s="3">
        <v>0</v>
      </c>
      <c r="AC186" s="3">
        <v>0</v>
      </c>
      <c r="AD186" s="1">
        <v>0</v>
      </c>
      <c r="AE186" s="1">
        <v>27718</v>
      </c>
      <c r="AF186" s="1">
        <v>0</v>
      </c>
      <c r="AG186" s="1">
        <v>0</v>
      </c>
      <c r="AH186" s="1">
        <v>0</v>
      </c>
      <c r="AI186" s="1">
        <f>Table1[[#This Row],[NWS_pin]]*Table1[[#This Row],[Perc_pop_Northern_Aleppo]]</f>
        <v>0</v>
      </c>
      <c r="AJ186" s="1">
        <f>Table1[[#This Row],[NWS_pin]]*Table1[[#This Row],[Perc_pop_Afrin District]]</f>
        <v>0</v>
      </c>
      <c r="AK186" s="1">
        <f>Table1[[#This Row],[NWS_pin]]*Table1[[#This Row],[Perc_pop_Euphrates Shiled]]</f>
        <v>0</v>
      </c>
      <c r="AL186" s="1">
        <f>Table1[[#This Row],[NWS_pin]]*Table1[[#This Row],[Perc_Pop_Idleb_NSAG]]</f>
        <v>0</v>
      </c>
      <c r="AM186" s="4">
        <v>0.48314902258498399</v>
      </c>
      <c r="AN186" s="4">
        <v>0.51685097741501596</v>
      </c>
      <c r="AO186" s="4">
        <v>0.16559887975583501</v>
      </c>
      <c r="AP186" s="4">
        <v>0.44483510713891</v>
      </c>
      <c r="AQ186" s="4">
        <v>0.53107107328396197</v>
      </c>
      <c r="AR186" s="4">
        <v>0</v>
      </c>
      <c r="AS186" s="4">
        <v>0</v>
      </c>
      <c r="AT186" s="4">
        <v>2.4093819577129E-2</v>
      </c>
      <c r="AU186" s="4">
        <v>2.5883439200040999E-2</v>
      </c>
      <c r="AV186" s="4">
        <v>8.1702982839331507E-3</v>
      </c>
      <c r="AW186" s="4">
        <v>4.2441571223569403E-2</v>
      </c>
      <c r="AX186" s="4">
        <v>0.107791425593447</v>
      </c>
      <c r="AY186" s="4">
        <v>0.121706863851097</v>
      </c>
      <c r="AZ186" s="4">
        <v>9.47833619797325E-2</v>
      </c>
      <c r="BA186" s="4">
        <v>0.152216146002146</v>
      </c>
      <c r="BB186" s="4">
        <v>0.15680024028970499</v>
      </c>
      <c r="BC186" s="4">
        <v>0.14793096367444999</v>
      </c>
      <c r="BD186" s="4">
        <v>0.138185796806779</v>
      </c>
      <c r="BE186" s="4">
        <v>0.14042057743178801</v>
      </c>
      <c r="BF186" s="4">
        <v>0.13609673802224301</v>
      </c>
      <c r="BG186" s="4">
        <v>8.5500239725937302E-2</v>
      </c>
      <c r="BH186" s="4">
        <v>7.3101034071889004E-2</v>
      </c>
      <c r="BI186" s="4">
        <v>9.7090938697902904E-2</v>
      </c>
      <c r="BJ186" s="4">
        <v>4.2742538984666699E-2</v>
      </c>
      <c r="BK186" s="4">
        <v>3.1289536606554702E-2</v>
      </c>
      <c r="BL186" s="4">
        <v>5.3448733122720901E-2</v>
      </c>
      <c r="BM186" s="4">
        <v>5.3282744636876502E-4</v>
      </c>
      <c r="BN186" s="4">
        <v>0</v>
      </c>
      <c r="BO186" s="4">
        <v>1.0309111710181001E-3</v>
      </c>
      <c r="BP186" s="4">
        <v>1.3700967768735599E-2</v>
      </c>
      <c r="BQ186" s="4">
        <v>9.1184563563896006E-3</v>
      </c>
      <c r="BR186" s="4">
        <v>1.7984670434700901E-2</v>
      </c>
      <c r="BS186" s="4">
        <v>5.3733884251746397E-2</v>
      </c>
      <c r="BT186" s="4">
        <v>9.9620640706369806E-2</v>
      </c>
      <c r="BU186" s="4">
        <v>1.08392347310501E-2</v>
      </c>
      <c r="BV186" s="4">
        <v>0.10554949686948401</v>
      </c>
      <c r="BW186" s="4">
        <v>0.13615722836840299</v>
      </c>
      <c r="BX186" s="4">
        <v>7.6937583177828603E-2</v>
      </c>
      <c r="BY186" s="4">
        <v>0.11067974022650701</v>
      </c>
      <c r="BZ186" s="4">
        <v>8.2794917667793705E-2</v>
      </c>
      <c r="CA186" s="4">
        <v>0.136746295873901</v>
      </c>
      <c r="CB186" s="4">
        <v>6.5362951567006194E-2</v>
      </c>
      <c r="CC186" s="4">
        <v>6.0990163940725602E-2</v>
      </c>
      <c r="CD186" s="4">
        <v>6.9450605765080303E-2</v>
      </c>
      <c r="CE186" s="4">
        <v>4.8908113721219601E-2</v>
      </c>
      <c r="CF186" s="4">
        <v>2.86849037928564E-2</v>
      </c>
      <c r="CG186" s="4">
        <v>6.7812642371406995E-2</v>
      </c>
      <c r="CH186" s="4">
        <v>2.6214058321089199E-2</v>
      </c>
      <c r="CI186" s="4">
        <v>1.8988138257521801E-2</v>
      </c>
      <c r="CJ186" s="4">
        <v>3.2968802664324698E-2</v>
      </c>
      <c r="CK186" s="4">
        <v>6.3150263373636401E-3</v>
      </c>
      <c r="CL186" s="4">
        <v>1.0273153421326399E-2</v>
      </c>
      <c r="CM186" s="4">
        <v>2.6149941898995898E-3</v>
      </c>
      <c r="CN186" s="4">
        <v>1.4360349469206999E-3</v>
      </c>
      <c r="CO186" s="4">
        <v>2.4342781718385098E-3</v>
      </c>
      <c r="CP186" s="4">
        <v>5.0288349805761195E-4</v>
      </c>
      <c r="CQ186" s="4">
        <v>1.52473122305404E-2</v>
      </c>
      <c r="CR186" s="4">
        <v>1.94495687818074E-2</v>
      </c>
      <c r="CS186" s="4">
        <v>1.1319069402113399E-2</v>
      </c>
      <c r="CT186" s="1">
        <f>Table1[[#This Row],[Female %]]*Table1[[#This Row],[NWS_pin]]</f>
        <v>0</v>
      </c>
      <c r="CU186" s="1">
        <f>Table1[[#This Row],[Male %]]*Table1[[#This Row],[NWS_pin]]</f>
        <v>0</v>
      </c>
      <c r="CV186" s="1">
        <f>Table1[[#This Row],[Female% (0-2)22]]+Table1[[#This Row],[Male%(0-2)3]]</f>
        <v>0</v>
      </c>
      <c r="CW186" s="1">
        <f>$CT186*Table1[[#This Row],[Female% (0-2)]]</f>
        <v>0</v>
      </c>
      <c r="CX186" s="1">
        <f>$CU186*Table1[[#This Row],[Male%(0-2)]]</f>
        <v>0</v>
      </c>
      <c r="CY186" s="1">
        <f>Table1[[#This Row],[Female%  (3-5)5]]+Table1[[#This Row],[Male% (3-5)6]]</f>
        <v>0</v>
      </c>
      <c r="CZ186" s="1">
        <f>$AF186*Table1[[#This Row],[Female%  (3-5)]]</f>
        <v>0</v>
      </c>
      <c r="DA186" s="1">
        <f>$CU186*Table1[[#This Row],[Male% (3-5)]]</f>
        <v>0</v>
      </c>
      <c r="DB186" s="1">
        <f>Table1[[#This Row],[Female% (6-8)8]]+Table1[[#This Row],[Male%(6-8)9]]</f>
        <v>0</v>
      </c>
      <c r="DC186" s="1">
        <f>$CT186*Table1[[#This Row],[Female% (6-8)]]</f>
        <v>0</v>
      </c>
      <c r="DD186" s="1">
        <f>$CU186*Table1[[#This Row],[Male%(6-8)]]</f>
        <v>0</v>
      </c>
      <c r="DE186" s="1">
        <f>Table1[[#This Row],[Female% (9 - 11)11]]+Table1[[#This Row],[Male% (9 - 11)12]]</f>
        <v>0</v>
      </c>
      <c r="DF186" s="1">
        <f>$CT186*Table1[[#This Row],[Female% (9 - 11)]]</f>
        <v>0</v>
      </c>
      <c r="DG186" s="1">
        <f>$CU186*Table1[[#This Row],[Male% (9 - 11)]]</f>
        <v>0</v>
      </c>
      <c r="DH186" s="1">
        <f>Table1[[#This Row],[Female% (12-14)14]]+Table1[[#This Row],[Male%(12-14)15]]</f>
        <v>0</v>
      </c>
      <c r="DI186" s="1">
        <f>$CT186*Table1[[#This Row],[Female% (12-14)]]</f>
        <v>0</v>
      </c>
      <c r="DJ186" s="1">
        <f>$CU186*Table1[[#This Row],[Male%(12-14)]]</f>
        <v>0</v>
      </c>
      <c r="DK186" s="1">
        <f>Table1[[#This Row],[Female% (15-17)17]]+Table1[[#This Row],[Male%(15-17)18]]</f>
        <v>0</v>
      </c>
      <c r="DL186" s="1">
        <f>$CT186*Table1[[#This Row],[Female% (15-17)]]</f>
        <v>0</v>
      </c>
      <c r="DM186" s="1">
        <f>$CU186*Table1[[#This Row],[Male%(15-17)]]</f>
        <v>0</v>
      </c>
      <c r="DN186" s="1">
        <f>$AF186*Table1[[#This Row],[Total% (18-19)]]</f>
        <v>0</v>
      </c>
      <c r="DO186" s="1">
        <f>$CT186*Table1[[#This Row],[Female% (18-19)]]</f>
        <v>0</v>
      </c>
      <c r="DP186" s="1">
        <f>$CU186*Table1[[#This Row],[Male%(18-19)]]</f>
        <v>0</v>
      </c>
      <c r="DQ186" s="1">
        <f>$AF186*Table1[[#This Row],[Total% (20-24)]]</f>
        <v>0</v>
      </c>
      <c r="DR186" s="1">
        <f>$CT186*Table1[[#This Row],[Female% (20-24)]]</f>
        <v>0</v>
      </c>
      <c r="DS186" s="1">
        <f>$CU186*Table1[[#This Row],[Male% (20-24)]]</f>
        <v>0</v>
      </c>
      <c r="DT186" s="1">
        <f>$AF186*Table1[[#This Row],[Total% (25-29)]]</f>
        <v>0</v>
      </c>
      <c r="DU186" s="1">
        <f>$CT186*Table1[[#This Row],[Female% (25-29)]]</f>
        <v>0</v>
      </c>
      <c r="DV186" s="1">
        <f>$CU186*Table1[[#This Row],[Male% (25-29)]]</f>
        <v>0</v>
      </c>
      <c r="DW186" s="1">
        <f>$AF186*Table1[[#This Row],[Total%   (30-34)]]</f>
        <v>0</v>
      </c>
      <c r="DX186" s="1">
        <f>$CT186*Table1[[#This Row],[Female%   (30-34)]]</f>
        <v>0</v>
      </c>
      <c r="DY186" s="1">
        <f>$CU186*Table1[[#This Row],[Male%  (30-34)]]</f>
        <v>0</v>
      </c>
      <c r="DZ186" s="1">
        <f>$AF186*Table1[[#This Row],[Total% (35-39)]]</f>
        <v>0</v>
      </c>
      <c r="EA186" s="1">
        <f>$CT186*Table1[[#This Row],[Female% (35-39)]]</f>
        <v>0</v>
      </c>
      <c r="EB186" s="1">
        <f>$CU186*Table1[[#This Row],[Male% (35-39)]]</f>
        <v>0</v>
      </c>
      <c r="EC186" s="1">
        <f>$AF186*Table1[[#This Row],[Total% (40-44)]]</f>
        <v>0</v>
      </c>
      <c r="ED186" s="1">
        <f>$CT186*Table1[[#This Row],[Female% (40-44)]]</f>
        <v>0</v>
      </c>
      <c r="EE186" s="1">
        <f>$CU186*Table1[[#This Row],[Male%(55-59)]]</f>
        <v>0</v>
      </c>
      <c r="EF186" s="1">
        <f>$AF186*Table1[[#This Row],[Total% (45-49)]]</f>
        <v>0</v>
      </c>
      <c r="EG186" s="1">
        <f>$CT186*Table1[[#This Row],[Female% (45-49)]]</f>
        <v>0</v>
      </c>
      <c r="EH186" s="1">
        <f>$CU186*Table1[[#This Row],[Male% (45-49)]]</f>
        <v>0</v>
      </c>
      <c r="EI186" s="1">
        <f>$AF186*Table1[[#This Row],[Total% (50-54)]]</f>
        <v>0</v>
      </c>
      <c r="EJ186" s="1">
        <f>$CT186*Table1[[#This Row],[Female%(50-54)]]</f>
        <v>0</v>
      </c>
      <c r="EK186" s="1">
        <f>$CU186*Table1[[#This Row],[Male% (50-54)]]</f>
        <v>0</v>
      </c>
      <c r="EL186" s="1">
        <f>$AF186*Table1[[#This Row],[Total% (55-59)]]</f>
        <v>0</v>
      </c>
      <c r="EM186" s="1">
        <f>$CT186*Table1[[#This Row],[Female% (55-59)]]</f>
        <v>0</v>
      </c>
      <c r="EN186" s="1">
        <f>$CU186*Table1[[#This Row],[Male% (55-59)]]</f>
        <v>0</v>
      </c>
      <c r="EO186" s="1">
        <f>$AF186*Table1[[#This Row],[Total% (60-64)]]</f>
        <v>0</v>
      </c>
      <c r="EP186" s="1">
        <f>$CT186*Table1[[#This Row],[Female%(60-64)]]</f>
        <v>0</v>
      </c>
      <c r="EQ186" s="1">
        <f>$CU186*Table1[[#This Row],[Male%(60-64)]]</f>
        <v>0</v>
      </c>
      <c r="ER186" s="1">
        <f>$AF186*Table1[[#This Row],[Total% (&gt;=65)]]</f>
        <v>0</v>
      </c>
      <c r="ES186" s="1">
        <f>$CT186*Table1[[#This Row],[Female%(&gt;=65)]]</f>
        <v>0</v>
      </c>
      <c r="ET186" s="1">
        <f>$CU186*Table1[[#This Row],[Male% (&gt;=65)]]</f>
        <v>0</v>
      </c>
    </row>
    <row r="187" spans="1:150" x14ac:dyDescent="0.35">
      <c r="A187" t="s">
        <v>184</v>
      </c>
      <c r="B187" t="s">
        <v>185</v>
      </c>
      <c r="C187" t="s">
        <v>254</v>
      </c>
      <c r="D187" t="s">
        <v>255</v>
      </c>
      <c r="E187" t="s">
        <v>254</v>
      </c>
      <c r="F187" t="s">
        <v>256</v>
      </c>
      <c r="G187" t="s">
        <v>1144</v>
      </c>
      <c r="H187">
        <v>4</v>
      </c>
      <c r="I187" s="1">
        <v>0</v>
      </c>
      <c r="J187" s="1">
        <v>0</v>
      </c>
      <c r="K187" s="1">
        <v>9174</v>
      </c>
      <c r="L187" s="1">
        <v>53040</v>
      </c>
      <c r="M187" s="1">
        <v>0</v>
      </c>
      <c r="N187" s="1">
        <v>62214</v>
      </c>
      <c r="O187" s="3">
        <v>0</v>
      </c>
      <c r="P187" s="3">
        <v>0.4</v>
      </c>
      <c r="Q187" s="3">
        <v>0</v>
      </c>
      <c r="R187" s="3">
        <v>0.6</v>
      </c>
      <c r="S187" s="3">
        <v>0</v>
      </c>
      <c r="T187" s="1">
        <v>62214</v>
      </c>
      <c r="U187" s="1">
        <v>62214</v>
      </c>
      <c r="V187" s="10">
        <f>Table1[[#This Row],[Pop NW+RATAA]]*Table1[[#This Row],[Perc_pop_Northern_Aleppo]]</f>
        <v>0</v>
      </c>
      <c r="W187" s="10">
        <f>Table1[[#This Row],[Pop NW+RATAA]]*Table1[[#This Row],[Perc_pop_Afrin District]]</f>
        <v>0</v>
      </c>
      <c r="X187" s="10">
        <f>Table1[[#This Row],[Pop NW+RATAA]]*Table1[[#This Row],[Perc_pop_Euphrates Shiled]]</f>
        <v>0</v>
      </c>
      <c r="Y187" s="10">
        <f>Table1[[#This Row],[Pop NW+RATAA]]*Table1[[#This Row],[Perc_Pop_Idleb_NSAG]]</f>
        <v>0</v>
      </c>
      <c r="Z187" s="3">
        <v>0</v>
      </c>
      <c r="AA187" s="3">
        <v>0</v>
      </c>
      <c r="AB187" s="3">
        <v>0</v>
      </c>
      <c r="AC187" s="3">
        <v>0</v>
      </c>
      <c r="AD187" s="1">
        <v>0</v>
      </c>
      <c r="AE187" s="1">
        <v>24885.600000000002</v>
      </c>
      <c r="AF187" s="1">
        <v>0</v>
      </c>
      <c r="AG187" s="1">
        <v>37328.400000000001</v>
      </c>
      <c r="AH187" s="1">
        <v>0</v>
      </c>
      <c r="AI187" s="1">
        <f>Table1[[#This Row],[NWS_pin]]*Table1[[#This Row],[Perc_pop_Northern_Aleppo]]</f>
        <v>0</v>
      </c>
      <c r="AJ187" s="1">
        <f>Table1[[#This Row],[NWS_pin]]*Table1[[#This Row],[Perc_pop_Afrin District]]</f>
        <v>0</v>
      </c>
      <c r="AK187" s="1">
        <f>Table1[[#This Row],[NWS_pin]]*Table1[[#This Row],[Perc_pop_Euphrates Shiled]]</f>
        <v>0</v>
      </c>
      <c r="AL187" s="1">
        <f>Table1[[#This Row],[NWS_pin]]*Table1[[#This Row],[Perc_Pop_Idleb_NSAG]]</f>
        <v>0</v>
      </c>
      <c r="AM187" s="4">
        <v>0.44721214185943498</v>
      </c>
      <c r="AN187" s="4">
        <v>0.55278785814056497</v>
      </c>
      <c r="AO187" s="4">
        <v>4.7085720433578102E-2</v>
      </c>
      <c r="AP187" s="4">
        <v>0.47836558681372099</v>
      </c>
      <c r="AQ187" s="4">
        <v>0.48477275782714302</v>
      </c>
      <c r="AR187" s="4">
        <v>5.2625486983459598E-3</v>
      </c>
      <c r="AS187" s="4">
        <v>0</v>
      </c>
      <c r="AT187" s="4">
        <v>3.1599106660790598E-2</v>
      </c>
      <c r="AU187" s="4">
        <v>4.1880012264504503E-2</v>
      </c>
      <c r="AV187" s="4">
        <v>3.0311834721335799E-2</v>
      </c>
      <c r="AW187" s="4">
        <v>5.1238809460037699E-2</v>
      </c>
      <c r="AX187" s="4">
        <v>0.10175832112560899</v>
      </c>
      <c r="AY187" s="4">
        <v>7.9967133434265106E-2</v>
      </c>
      <c r="AZ187" s="4">
        <v>0.119387658632926</v>
      </c>
      <c r="BA187" s="4">
        <v>0.157949306714816</v>
      </c>
      <c r="BB187" s="4">
        <v>0.16588321886966201</v>
      </c>
      <c r="BC187" s="4">
        <v>0.151530674691985</v>
      </c>
      <c r="BD187" s="4">
        <v>0.104950703505604</v>
      </c>
      <c r="BE187" s="4">
        <v>7.4735175955422603E-2</v>
      </c>
      <c r="BF187" s="4">
        <v>0.12939543504978601</v>
      </c>
      <c r="BG187" s="4">
        <v>9.6807549483868799E-2</v>
      </c>
      <c r="BH187" s="4">
        <v>0.105721497449002</v>
      </c>
      <c r="BI187" s="4">
        <v>8.9596056497535798E-2</v>
      </c>
      <c r="BJ187" s="4">
        <v>6.8112901577351601E-2</v>
      </c>
      <c r="BK187" s="4">
        <v>6.3292668601505703E-2</v>
      </c>
      <c r="BL187" s="4">
        <v>7.2012529041385595E-2</v>
      </c>
      <c r="BM187" s="4">
        <v>1.8761285047525E-2</v>
      </c>
      <c r="BN187" s="4">
        <v>1.9197048408099999E-3</v>
      </c>
      <c r="BO187" s="4">
        <v>3.2386329530009299E-2</v>
      </c>
      <c r="BP187" s="4">
        <v>3.0954246584676201E-3</v>
      </c>
      <c r="BQ187" s="4">
        <v>0</v>
      </c>
      <c r="BR187" s="4">
        <v>5.5996610867681297E-3</v>
      </c>
      <c r="BS187" s="4">
        <v>6.0002657309304E-2</v>
      </c>
      <c r="BT187" s="4">
        <v>9.1071254720607606E-2</v>
      </c>
      <c r="BU187" s="4">
        <v>3.4867781808213497E-2</v>
      </c>
      <c r="BV187" s="4">
        <v>7.9245187885395002E-2</v>
      </c>
      <c r="BW187" s="4">
        <v>0.102909434572269</v>
      </c>
      <c r="BX187" s="4">
        <v>6.0100522729533402E-2</v>
      </c>
      <c r="BY187" s="4">
        <v>0.101708036657241</v>
      </c>
      <c r="BZ187" s="4">
        <v>0.12229449216874699</v>
      </c>
      <c r="CA187" s="4">
        <v>8.5053342226066794E-2</v>
      </c>
      <c r="CB187" s="4">
        <v>8.2801485367764799E-2</v>
      </c>
      <c r="CC187" s="4">
        <v>7.5787204679691897E-2</v>
      </c>
      <c r="CD187" s="4">
        <v>8.84761242801822E-2</v>
      </c>
      <c r="CE187" s="4">
        <v>3.4443838789902301E-2</v>
      </c>
      <c r="CF187" s="4">
        <v>1.14435738566063E-2</v>
      </c>
      <c r="CG187" s="4">
        <v>5.30513345817838E-2</v>
      </c>
      <c r="CH187" s="4">
        <v>5.7043573058971802E-3</v>
      </c>
      <c r="CI187" s="4">
        <v>3.39147855209767E-3</v>
      </c>
      <c r="CJ187" s="4">
        <v>7.5755045210822904E-3</v>
      </c>
      <c r="CK187" s="4">
        <v>1.0252444383878999E-2</v>
      </c>
      <c r="CL187" s="4">
        <v>2.2925237094974699E-2</v>
      </c>
      <c r="CM187" s="4">
        <v>0</v>
      </c>
      <c r="CN187" s="4">
        <v>1.96651108915613E-2</v>
      </c>
      <c r="CO187" s="4">
        <v>2.6578008805960399E-2</v>
      </c>
      <c r="CP187" s="4">
        <v>1.4072491883696201E-2</v>
      </c>
      <c r="CQ187" s="4">
        <v>1.28613770313086E-2</v>
      </c>
      <c r="CR187" s="4">
        <v>2.1768081677042E-2</v>
      </c>
      <c r="CS187" s="4">
        <v>5.6557439790084797E-3</v>
      </c>
      <c r="CT187" s="1">
        <f>Table1[[#This Row],[Female %]]*Table1[[#This Row],[NWS_pin]]</f>
        <v>0</v>
      </c>
      <c r="CU187" s="1">
        <f>Table1[[#This Row],[Male %]]*Table1[[#This Row],[NWS_pin]]</f>
        <v>0</v>
      </c>
      <c r="CV187" s="1">
        <f>Table1[[#This Row],[Female% (0-2)22]]+Table1[[#This Row],[Male%(0-2)3]]</f>
        <v>0</v>
      </c>
      <c r="CW187" s="1">
        <f>$CT187*Table1[[#This Row],[Female% (0-2)]]</f>
        <v>0</v>
      </c>
      <c r="CX187" s="1">
        <f>$CU187*Table1[[#This Row],[Male%(0-2)]]</f>
        <v>0</v>
      </c>
      <c r="CY187" s="1">
        <f>Table1[[#This Row],[Female%  (3-5)5]]+Table1[[#This Row],[Male% (3-5)6]]</f>
        <v>0</v>
      </c>
      <c r="CZ187" s="1">
        <f>$AF187*Table1[[#This Row],[Female%  (3-5)]]</f>
        <v>0</v>
      </c>
      <c r="DA187" s="1">
        <f>$CU187*Table1[[#This Row],[Male% (3-5)]]</f>
        <v>0</v>
      </c>
      <c r="DB187" s="1">
        <f>Table1[[#This Row],[Female% (6-8)8]]+Table1[[#This Row],[Male%(6-8)9]]</f>
        <v>0</v>
      </c>
      <c r="DC187" s="1">
        <f>$CT187*Table1[[#This Row],[Female% (6-8)]]</f>
        <v>0</v>
      </c>
      <c r="DD187" s="1">
        <f>$CU187*Table1[[#This Row],[Male%(6-8)]]</f>
        <v>0</v>
      </c>
      <c r="DE187" s="1">
        <f>Table1[[#This Row],[Female% (9 - 11)11]]+Table1[[#This Row],[Male% (9 - 11)12]]</f>
        <v>0</v>
      </c>
      <c r="DF187" s="1">
        <f>$CT187*Table1[[#This Row],[Female% (9 - 11)]]</f>
        <v>0</v>
      </c>
      <c r="DG187" s="1">
        <f>$CU187*Table1[[#This Row],[Male% (9 - 11)]]</f>
        <v>0</v>
      </c>
      <c r="DH187" s="1">
        <f>Table1[[#This Row],[Female% (12-14)14]]+Table1[[#This Row],[Male%(12-14)15]]</f>
        <v>0</v>
      </c>
      <c r="DI187" s="1">
        <f>$CT187*Table1[[#This Row],[Female% (12-14)]]</f>
        <v>0</v>
      </c>
      <c r="DJ187" s="1">
        <f>$CU187*Table1[[#This Row],[Male%(12-14)]]</f>
        <v>0</v>
      </c>
      <c r="DK187" s="1">
        <f>Table1[[#This Row],[Female% (15-17)17]]+Table1[[#This Row],[Male%(15-17)18]]</f>
        <v>0</v>
      </c>
      <c r="DL187" s="1">
        <f>$CT187*Table1[[#This Row],[Female% (15-17)]]</f>
        <v>0</v>
      </c>
      <c r="DM187" s="1">
        <f>$CU187*Table1[[#This Row],[Male%(15-17)]]</f>
        <v>0</v>
      </c>
      <c r="DN187" s="1">
        <f>$AF187*Table1[[#This Row],[Total% (18-19)]]</f>
        <v>0</v>
      </c>
      <c r="DO187" s="1">
        <f>$CT187*Table1[[#This Row],[Female% (18-19)]]</f>
        <v>0</v>
      </c>
      <c r="DP187" s="1">
        <f>$CU187*Table1[[#This Row],[Male%(18-19)]]</f>
        <v>0</v>
      </c>
      <c r="DQ187" s="1">
        <f>$AF187*Table1[[#This Row],[Total% (20-24)]]</f>
        <v>0</v>
      </c>
      <c r="DR187" s="1">
        <f>$CT187*Table1[[#This Row],[Female% (20-24)]]</f>
        <v>0</v>
      </c>
      <c r="DS187" s="1">
        <f>$CU187*Table1[[#This Row],[Male% (20-24)]]</f>
        <v>0</v>
      </c>
      <c r="DT187" s="1">
        <f>$AF187*Table1[[#This Row],[Total% (25-29)]]</f>
        <v>0</v>
      </c>
      <c r="DU187" s="1">
        <f>$CT187*Table1[[#This Row],[Female% (25-29)]]</f>
        <v>0</v>
      </c>
      <c r="DV187" s="1">
        <f>$CU187*Table1[[#This Row],[Male% (25-29)]]</f>
        <v>0</v>
      </c>
      <c r="DW187" s="1">
        <f>$AF187*Table1[[#This Row],[Total%   (30-34)]]</f>
        <v>0</v>
      </c>
      <c r="DX187" s="1">
        <f>$CT187*Table1[[#This Row],[Female%   (30-34)]]</f>
        <v>0</v>
      </c>
      <c r="DY187" s="1">
        <f>$CU187*Table1[[#This Row],[Male%  (30-34)]]</f>
        <v>0</v>
      </c>
      <c r="DZ187" s="1">
        <f>$AF187*Table1[[#This Row],[Total% (35-39)]]</f>
        <v>0</v>
      </c>
      <c r="EA187" s="1">
        <f>$CT187*Table1[[#This Row],[Female% (35-39)]]</f>
        <v>0</v>
      </c>
      <c r="EB187" s="1">
        <f>$CU187*Table1[[#This Row],[Male% (35-39)]]</f>
        <v>0</v>
      </c>
      <c r="EC187" s="1">
        <f>$AF187*Table1[[#This Row],[Total% (40-44)]]</f>
        <v>0</v>
      </c>
      <c r="ED187" s="1">
        <f>$CT187*Table1[[#This Row],[Female% (40-44)]]</f>
        <v>0</v>
      </c>
      <c r="EE187" s="1">
        <f>$CU187*Table1[[#This Row],[Male%(55-59)]]</f>
        <v>0</v>
      </c>
      <c r="EF187" s="1">
        <f>$AF187*Table1[[#This Row],[Total% (45-49)]]</f>
        <v>0</v>
      </c>
      <c r="EG187" s="1">
        <f>$CT187*Table1[[#This Row],[Female% (45-49)]]</f>
        <v>0</v>
      </c>
      <c r="EH187" s="1">
        <f>$CU187*Table1[[#This Row],[Male% (45-49)]]</f>
        <v>0</v>
      </c>
      <c r="EI187" s="1">
        <f>$AF187*Table1[[#This Row],[Total% (50-54)]]</f>
        <v>0</v>
      </c>
      <c r="EJ187" s="1">
        <f>$CT187*Table1[[#This Row],[Female%(50-54)]]</f>
        <v>0</v>
      </c>
      <c r="EK187" s="1">
        <f>$CU187*Table1[[#This Row],[Male% (50-54)]]</f>
        <v>0</v>
      </c>
      <c r="EL187" s="1">
        <f>$AF187*Table1[[#This Row],[Total% (55-59)]]</f>
        <v>0</v>
      </c>
      <c r="EM187" s="1">
        <f>$CT187*Table1[[#This Row],[Female% (55-59)]]</f>
        <v>0</v>
      </c>
      <c r="EN187" s="1">
        <f>$CU187*Table1[[#This Row],[Male% (55-59)]]</f>
        <v>0</v>
      </c>
      <c r="EO187" s="1">
        <f>$AF187*Table1[[#This Row],[Total% (60-64)]]</f>
        <v>0</v>
      </c>
      <c r="EP187" s="1">
        <f>$CT187*Table1[[#This Row],[Female%(60-64)]]</f>
        <v>0</v>
      </c>
      <c r="EQ187" s="1">
        <f>$CU187*Table1[[#This Row],[Male%(60-64)]]</f>
        <v>0</v>
      </c>
      <c r="ER187" s="1">
        <f>$AF187*Table1[[#This Row],[Total% (&gt;=65)]]</f>
        <v>0</v>
      </c>
      <c r="ES187" s="1">
        <f>$CT187*Table1[[#This Row],[Female%(&gt;=65)]]</f>
        <v>0</v>
      </c>
      <c r="ET187" s="1">
        <f>$CU187*Table1[[#This Row],[Male% (&gt;=65)]]</f>
        <v>0</v>
      </c>
    </row>
    <row r="188" spans="1:150" hidden="1" x14ac:dyDescent="0.35">
      <c r="A188" t="s">
        <v>184</v>
      </c>
      <c r="B188" t="s">
        <v>185</v>
      </c>
      <c r="C188" t="s">
        <v>254</v>
      </c>
      <c r="D188" t="s">
        <v>255</v>
      </c>
      <c r="E188" t="s">
        <v>414</v>
      </c>
      <c r="F188" t="s">
        <v>415</v>
      </c>
      <c r="H188">
        <v>4</v>
      </c>
      <c r="I188" s="1">
        <v>0</v>
      </c>
      <c r="J188" s="1">
        <v>0</v>
      </c>
      <c r="K188" s="1">
        <v>19298</v>
      </c>
      <c r="L188" s="1">
        <v>19162</v>
      </c>
      <c r="M188" s="1">
        <v>0</v>
      </c>
      <c r="N188" s="1">
        <v>38460</v>
      </c>
      <c r="O188" s="3">
        <v>0</v>
      </c>
      <c r="P188" s="3">
        <v>1</v>
      </c>
      <c r="Q188" s="3">
        <v>0</v>
      </c>
      <c r="R188" s="3">
        <v>0</v>
      </c>
      <c r="S188" s="3">
        <v>0</v>
      </c>
      <c r="T188" s="1">
        <v>38460</v>
      </c>
      <c r="U188" s="1">
        <v>0</v>
      </c>
      <c r="V188" s="10">
        <f>Table1[[#This Row],[Pop NW+RATAA]]*Table1[[#This Row],[Perc_pop_Northern_Aleppo]]</f>
        <v>0</v>
      </c>
      <c r="W188" s="10">
        <f>Table1[[#This Row],[Pop NW+RATAA]]*Table1[[#This Row],[Perc_pop_Afrin District]]</f>
        <v>0</v>
      </c>
      <c r="X188" s="10">
        <f>Table1[[#This Row],[Pop NW+RATAA]]*Table1[[#This Row],[Perc_pop_Euphrates Shiled]]</f>
        <v>0</v>
      </c>
      <c r="Y188" s="10">
        <f>Table1[[#This Row],[Pop NW+RATAA]]*Table1[[#This Row],[Perc_Pop_Idleb_NSAG]]</f>
        <v>0</v>
      </c>
      <c r="Z188" s="3">
        <v>0</v>
      </c>
      <c r="AA188" s="3">
        <v>0</v>
      </c>
      <c r="AB188" s="3">
        <v>0</v>
      </c>
      <c r="AC188" s="3">
        <v>0</v>
      </c>
      <c r="AD188" s="1">
        <v>0</v>
      </c>
      <c r="AE188" s="1">
        <v>38460</v>
      </c>
      <c r="AF188" s="1">
        <v>0</v>
      </c>
      <c r="AG188" s="1">
        <v>0</v>
      </c>
      <c r="AH188" s="1">
        <v>0</v>
      </c>
      <c r="AI188" s="1">
        <f>Table1[[#This Row],[NWS_pin]]*Table1[[#This Row],[Perc_pop_Northern_Aleppo]]</f>
        <v>0</v>
      </c>
      <c r="AJ188" s="1">
        <f>Table1[[#This Row],[NWS_pin]]*Table1[[#This Row],[Perc_pop_Afrin District]]</f>
        <v>0</v>
      </c>
      <c r="AK188" s="1">
        <f>Table1[[#This Row],[NWS_pin]]*Table1[[#This Row],[Perc_pop_Euphrates Shiled]]</f>
        <v>0</v>
      </c>
      <c r="AL188" s="1">
        <f>Table1[[#This Row],[NWS_pin]]*Table1[[#This Row],[Perc_Pop_Idleb_NSAG]]</f>
        <v>0</v>
      </c>
      <c r="AM188" s="4">
        <v>0.48238297273683101</v>
      </c>
      <c r="AN188" s="4">
        <v>0.51761702726316905</v>
      </c>
      <c r="AO188" s="4">
        <v>0.210513458098853</v>
      </c>
      <c r="AP188" s="4">
        <v>0.35625532396267101</v>
      </c>
      <c r="AQ188" s="4">
        <v>0.56678510426555795</v>
      </c>
      <c r="AR188" s="4">
        <v>1.21704506723735E-2</v>
      </c>
      <c r="AS188" s="4">
        <v>0</v>
      </c>
      <c r="AT188" s="4">
        <v>6.4789121099397398E-2</v>
      </c>
      <c r="AU188" s="4">
        <v>5.7827979919143402E-2</v>
      </c>
      <c r="AV188" s="4">
        <v>5.2794609176832603E-2</v>
      </c>
      <c r="AW188" s="4">
        <v>6.2518730442557E-2</v>
      </c>
      <c r="AX188" s="4">
        <v>0.140869578094688</v>
      </c>
      <c r="AY188" s="4">
        <v>0.12875885966898301</v>
      </c>
      <c r="AZ188" s="4">
        <v>0.15215592311130999</v>
      </c>
      <c r="BA188" s="4">
        <v>5.9426969952759701E-2</v>
      </c>
      <c r="BB188" s="4">
        <v>6.6366067899505499E-2</v>
      </c>
      <c r="BC188" s="4">
        <v>5.2960214573088901E-2</v>
      </c>
      <c r="BD188" s="4">
        <v>6.0122247397337299E-2</v>
      </c>
      <c r="BE188" s="4">
        <v>4.6601762915833601E-2</v>
      </c>
      <c r="BF188" s="4">
        <v>7.2722396066160003E-2</v>
      </c>
      <c r="BG188" s="4">
        <v>5.4242747345506201E-2</v>
      </c>
      <c r="BH188" s="4">
        <v>4.9568097133055197E-2</v>
      </c>
      <c r="BI188" s="4">
        <v>5.85991953509164E-2</v>
      </c>
      <c r="BJ188" s="4">
        <v>5.9574318420779801E-2</v>
      </c>
      <c r="BK188" s="4">
        <v>4.63753544826951E-2</v>
      </c>
      <c r="BL188" s="4">
        <v>7.1874832364774197E-2</v>
      </c>
      <c r="BM188" s="4">
        <v>1.15009551734862E-2</v>
      </c>
      <c r="BN188" s="4">
        <v>6.1705891607921996E-3</v>
      </c>
      <c r="BO188" s="4">
        <v>1.64684845775592E-2</v>
      </c>
      <c r="BP188" s="4">
        <v>5.5499651991055401E-2</v>
      </c>
      <c r="BQ188" s="4">
        <v>7.2699364137671696E-2</v>
      </c>
      <c r="BR188" s="4">
        <v>3.9470719713902501E-2</v>
      </c>
      <c r="BS188" s="4">
        <v>0.14951019592163101</v>
      </c>
      <c r="BT188" s="4">
        <v>0.195997559393839</v>
      </c>
      <c r="BU188" s="4">
        <v>0.10618721502011599</v>
      </c>
      <c r="BV188" s="4">
        <v>9.8826765590060303E-2</v>
      </c>
      <c r="BW188" s="4">
        <v>7.7243650010936707E-2</v>
      </c>
      <c r="BX188" s="4">
        <v>0.11894072418417501</v>
      </c>
      <c r="BY188" s="4">
        <v>7.09760540228353E-2</v>
      </c>
      <c r="BZ188" s="4">
        <v>7.2277246719955807E-2</v>
      </c>
      <c r="CA188" s="4">
        <v>6.9763433169423406E-2</v>
      </c>
      <c r="CB188" s="4">
        <v>3.6809350333940498E-2</v>
      </c>
      <c r="CC188" s="4">
        <v>3.6256048750724301E-2</v>
      </c>
      <c r="CD188" s="4">
        <v>3.7324988824318298E-2</v>
      </c>
      <c r="CE188" s="4">
        <v>2.3975594947206299E-2</v>
      </c>
      <c r="CF188" s="4">
        <v>1.57181176633115E-2</v>
      </c>
      <c r="CG188" s="4">
        <v>3.1670987930263697E-2</v>
      </c>
      <c r="CH188" s="4">
        <v>2.57504405645149E-2</v>
      </c>
      <c r="CI188" s="4">
        <v>2.88643890234122E-2</v>
      </c>
      <c r="CJ188" s="4">
        <v>2.2848457755923101E-2</v>
      </c>
      <c r="CK188" s="4">
        <v>4.20605831741378E-2</v>
      </c>
      <c r="CL188" s="4">
        <v>4.9552747408774703E-2</v>
      </c>
      <c r="CM188" s="4">
        <v>3.5078408582923597E-2</v>
      </c>
      <c r="CN188" s="4">
        <v>2.7901432019784699E-2</v>
      </c>
      <c r="CO188" s="4">
        <v>3.4156206469141297E-2</v>
      </c>
      <c r="CP188" s="4">
        <v>2.2072418417523498E-2</v>
      </c>
      <c r="CQ188" s="4">
        <v>2.5125135131132698E-2</v>
      </c>
      <c r="CR188" s="4">
        <v>2.0599329984535199E-2</v>
      </c>
      <c r="CS188" s="4">
        <v>2.9342869915064799E-2</v>
      </c>
      <c r="CT188" s="1">
        <f>Table1[[#This Row],[Female %]]*Table1[[#This Row],[NWS_pin]]</f>
        <v>0</v>
      </c>
      <c r="CU188" s="1">
        <f>Table1[[#This Row],[Male %]]*Table1[[#This Row],[NWS_pin]]</f>
        <v>0</v>
      </c>
      <c r="CV188" s="1">
        <f>Table1[[#This Row],[Female% (0-2)22]]+Table1[[#This Row],[Male%(0-2)3]]</f>
        <v>0</v>
      </c>
      <c r="CW188" s="1">
        <f>$CT188*Table1[[#This Row],[Female% (0-2)]]</f>
        <v>0</v>
      </c>
      <c r="CX188" s="1">
        <f>$CU188*Table1[[#This Row],[Male%(0-2)]]</f>
        <v>0</v>
      </c>
      <c r="CY188" s="1">
        <f>Table1[[#This Row],[Female%  (3-5)5]]+Table1[[#This Row],[Male% (3-5)6]]</f>
        <v>0</v>
      </c>
      <c r="CZ188" s="1">
        <f>$AF188*Table1[[#This Row],[Female%  (3-5)]]</f>
        <v>0</v>
      </c>
      <c r="DA188" s="1">
        <f>$CU188*Table1[[#This Row],[Male% (3-5)]]</f>
        <v>0</v>
      </c>
      <c r="DB188" s="1">
        <f>Table1[[#This Row],[Female% (6-8)8]]+Table1[[#This Row],[Male%(6-8)9]]</f>
        <v>0</v>
      </c>
      <c r="DC188" s="1">
        <f>$CT188*Table1[[#This Row],[Female% (6-8)]]</f>
        <v>0</v>
      </c>
      <c r="DD188" s="1">
        <f>$CU188*Table1[[#This Row],[Male%(6-8)]]</f>
        <v>0</v>
      </c>
      <c r="DE188" s="1">
        <f>Table1[[#This Row],[Female% (9 - 11)11]]+Table1[[#This Row],[Male% (9 - 11)12]]</f>
        <v>0</v>
      </c>
      <c r="DF188" s="1">
        <f>$CT188*Table1[[#This Row],[Female% (9 - 11)]]</f>
        <v>0</v>
      </c>
      <c r="DG188" s="1">
        <f>$CU188*Table1[[#This Row],[Male% (9 - 11)]]</f>
        <v>0</v>
      </c>
      <c r="DH188" s="1">
        <f>Table1[[#This Row],[Female% (12-14)14]]+Table1[[#This Row],[Male%(12-14)15]]</f>
        <v>0</v>
      </c>
      <c r="DI188" s="1">
        <f>$CT188*Table1[[#This Row],[Female% (12-14)]]</f>
        <v>0</v>
      </c>
      <c r="DJ188" s="1">
        <f>$CU188*Table1[[#This Row],[Male%(12-14)]]</f>
        <v>0</v>
      </c>
      <c r="DK188" s="1">
        <f>Table1[[#This Row],[Female% (15-17)17]]+Table1[[#This Row],[Male%(15-17)18]]</f>
        <v>0</v>
      </c>
      <c r="DL188" s="1">
        <f>$CT188*Table1[[#This Row],[Female% (15-17)]]</f>
        <v>0</v>
      </c>
      <c r="DM188" s="1">
        <f>$CU188*Table1[[#This Row],[Male%(15-17)]]</f>
        <v>0</v>
      </c>
      <c r="DN188" s="1">
        <f>$AF188*Table1[[#This Row],[Total% (18-19)]]</f>
        <v>0</v>
      </c>
      <c r="DO188" s="1">
        <f>$CT188*Table1[[#This Row],[Female% (18-19)]]</f>
        <v>0</v>
      </c>
      <c r="DP188" s="1">
        <f>$CU188*Table1[[#This Row],[Male%(18-19)]]</f>
        <v>0</v>
      </c>
      <c r="DQ188" s="1">
        <f>$AF188*Table1[[#This Row],[Total% (20-24)]]</f>
        <v>0</v>
      </c>
      <c r="DR188" s="1">
        <f>$CT188*Table1[[#This Row],[Female% (20-24)]]</f>
        <v>0</v>
      </c>
      <c r="DS188" s="1">
        <f>$CU188*Table1[[#This Row],[Male% (20-24)]]</f>
        <v>0</v>
      </c>
      <c r="DT188" s="1">
        <f>$AF188*Table1[[#This Row],[Total% (25-29)]]</f>
        <v>0</v>
      </c>
      <c r="DU188" s="1">
        <f>$CT188*Table1[[#This Row],[Female% (25-29)]]</f>
        <v>0</v>
      </c>
      <c r="DV188" s="1">
        <f>$CU188*Table1[[#This Row],[Male% (25-29)]]</f>
        <v>0</v>
      </c>
      <c r="DW188" s="1">
        <f>$AF188*Table1[[#This Row],[Total%   (30-34)]]</f>
        <v>0</v>
      </c>
      <c r="DX188" s="1">
        <f>$CT188*Table1[[#This Row],[Female%   (30-34)]]</f>
        <v>0</v>
      </c>
      <c r="DY188" s="1">
        <f>$CU188*Table1[[#This Row],[Male%  (30-34)]]</f>
        <v>0</v>
      </c>
      <c r="DZ188" s="1">
        <f>$AF188*Table1[[#This Row],[Total% (35-39)]]</f>
        <v>0</v>
      </c>
      <c r="EA188" s="1">
        <f>$CT188*Table1[[#This Row],[Female% (35-39)]]</f>
        <v>0</v>
      </c>
      <c r="EB188" s="1">
        <f>$CU188*Table1[[#This Row],[Male% (35-39)]]</f>
        <v>0</v>
      </c>
      <c r="EC188" s="1">
        <f>$AF188*Table1[[#This Row],[Total% (40-44)]]</f>
        <v>0</v>
      </c>
      <c r="ED188" s="1">
        <f>$CT188*Table1[[#This Row],[Female% (40-44)]]</f>
        <v>0</v>
      </c>
      <c r="EE188" s="1">
        <f>$CU188*Table1[[#This Row],[Male%(55-59)]]</f>
        <v>0</v>
      </c>
      <c r="EF188" s="1">
        <f>$AF188*Table1[[#This Row],[Total% (45-49)]]</f>
        <v>0</v>
      </c>
      <c r="EG188" s="1">
        <f>$CT188*Table1[[#This Row],[Female% (45-49)]]</f>
        <v>0</v>
      </c>
      <c r="EH188" s="1">
        <f>$CU188*Table1[[#This Row],[Male% (45-49)]]</f>
        <v>0</v>
      </c>
      <c r="EI188" s="1">
        <f>$AF188*Table1[[#This Row],[Total% (50-54)]]</f>
        <v>0</v>
      </c>
      <c r="EJ188" s="1">
        <f>$CT188*Table1[[#This Row],[Female%(50-54)]]</f>
        <v>0</v>
      </c>
      <c r="EK188" s="1">
        <f>$CU188*Table1[[#This Row],[Male% (50-54)]]</f>
        <v>0</v>
      </c>
      <c r="EL188" s="1">
        <f>$AF188*Table1[[#This Row],[Total% (55-59)]]</f>
        <v>0</v>
      </c>
      <c r="EM188" s="1">
        <f>$CT188*Table1[[#This Row],[Female% (55-59)]]</f>
        <v>0</v>
      </c>
      <c r="EN188" s="1">
        <f>$CU188*Table1[[#This Row],[Male% (55-59)]]</f>
        <v>0</v>
      </c>
      <c r="EO188" s="1">
        <f>$AF188*Table1[[#This Row],[Total% (60-64)]]</f>
        <v>0</v>
      </c>
      <c r="EP188" s="1">
        <f>$CT188*Table1[[#This Row],[Female%(60-64)]]</f>
        <v>0</v>
      </c>
      <c r="EQ188" s="1">
        <f>$CU188*Table1[[#This Row],[Male%(60-64)]]</f>
        <v>0</v>
      </c>
      <c r="ER188" s="1">
        <f>$AF188*Table1[[#This Row],[Total% (&gt;=65)]]</f>
        <v>0</v>
      </c>
      <c r="ES188" s="1">
        <f>$CT188*Table1[[#This Row],[Female%(&gt;=65)]]</f>
        <v>0</v>
      </c>
      <c r="ET188" s="1">
        <f>$CU188*Table1[[#This Row],[Male% (&gt;=65)]]</f>
        <v>0</v>
      </c>
    </row>
    <row r="189" spans="1:150" hidden="1" x14ac:dyDescent="0.35">
      <c r="A189" t="s">
        <v>157</v>
      </c>
      <c r="B189" t="s">
        <v>158</v>
      </c>
      <c r="C189" t="s">
        <v>157</v>
      </c>
      <c r="D189" t="s">
        <v>273</v>
      </c>
      <c r="E189" t="s">
        <v>157</v>
      </c>
      <c r="F189" t="s">
        <v>274</v>
      </c>
      <c r="H189">
        <v>3</v>
      </c>
      <c r="I189" s="1">
        <v>0</v>
      </c>
      <c r="J189" s="1">
        <v>95950</v>
      </c>
      <c r="K189" s="1">
        <v>150341</v>
      </c>
      <c r="L189" s="1">
        <v>29603</v>
      </c>
      <c r="M189" s="1">
        <v>0</v>
      </c>
      <c r="N189" s="1">
        <v>179944</v>
      </c>
      <c r="O189" s="3">
        <v>0.76</v>
      </c>
      <c r="P189" s="3">
        <v>0.24</v>
      </c>
      <c r="Q189" s="3">
        <v>0</v>
      </c>
      <c r="R189" s="3">
        <v>0</v>
      </c>
      <c r="S189" s="3">
        <v>0</v>
      </c>
      <c r="T189" s="1">
        <v>275894</v>
      </c>
      <c r="U189" s="1">
        <v>0</v>
      </c>
      <c r="V189" s="10">
        <f>Table1[[#This Row],[Pop NW+RATAA]]*Table1[[#This Row],[Perc_pop_Northern_Aleppo]]</f>
        <v>0</v>
      </c>
      <c r="W189" s="10">
        <f>Table1[[#This Row],[Pop NW+RATAA]]*Table1[[#This Row],[Perc_pop_Afrin District]]</f>
        <v>0</v>
      </c>
      <c r="X189" s="10">
        <f>Table1[[#This Row],[Pop NW+RATAA]]*Table1[[#This Row],[Perc_pop_Euphrates Shiled]]</f>
        <v>0</v>
      </c>
      <c r="Y189" s="10">
        <f>Table1[[#This Row],[Pop NW+RATAA]]*Table1[[#This Row],[Perc_Pop_Idleb_NSAG]]</f>
        <v>0</v>
      </c>
      <c r="Z189" s="3">
        <v>0</v>
      </c>
      <c r="AA189" s="3">
        <v>0</v>
      </c>
      <c r="AB189" s="3">
        <v>0</v>
      </c>
      <c r="AC189" s="3">
        <v>0</v>
      </c>
      <c r="AD189" s="1">
        <v>136757.44</v>
      </c>
      <c r="AE189" s="1">
        <v>43186.559999999998</v>
      </c>
      <c r="AF189" s="1">
        <v>0</v>
      </c>
      <c r="AG189" s="1">
        <v>0</v>
      </c>
      <c r="AH189" s="1">
        <v>0</v>
      </c>
      <c r="AI189" s="1">
        <f>Table1[[#This Row],[NWS_pin]]*Table1[[#This Row],[Perc_pop_Northern_Aleppo]]</f>
        <v>0</v>
      </c>
      <c r="AJ189" s="1">
        <f>Table1[[#This Row],[NWS_pin]]*Table1[[#This Row],[Perc_pop_Afrin District]]</f>
        <v>0</v>
      </c>
      <c r="AK189" s="1">
        <f>Table1[[#This Row],[NWS_pin]]*Table1[[#This Row],[Perc_pop_Euphrates Shiled]]</f>
        <v>0</v>
      </c>
      <c r="AL189" s="1">
        <f>Table1[[#This Row],[NWS_pin]]*Table1[[#This Row],[Perc_Pop_Idleb_NSAG]]</f>
        <v>0</v>
      </c>
      <c r="AM189" s="4">
        <v>0.56329044786260196</v>
      </c>
      <c r="AN189" s="4">
        <v>0.43670955213739798</v>
      </c>
      <c r="AO189" s="4">
        <v>9.8545548495807198E-2</v>
      </c>
      <c r="AP189" s="4">
        <v>0.47546905940416201</v>
      </c>
      <c r="AQ189" s="4">
        <v>0.466395903928564</v>
      </c>
      <c r="AR189" s="4">
        <v>8.3414082810336302E-3</v>
      </c>
      <c r="AS189" s="4">
        <v>0</v>
      </c>
      <c r="AT189" s="4">
        <v>4.9793628386240699E-2</v>
      </c>
      <c r="AU189" s="4">
        <v>5.1930764900043502E-2</v>
      </c>
      <c r="AV189" s="4">
        <v>7.0056811627146998E-2</v>
      </c>
      <c r="AW189" s="4">
        <v>2.8550857295741101E-2</v>
      </c>
      <c r="AX189" s="4">
        <v>0.11097444277764699</v>
      </c>
      <c r="AY189" s="4">
        <v>0.124093227442568</v>
      </c>
      <c r="AZ189" s="4">
        <v>9.4053159391129001E-2</v>
      </c>
      <c r="BA189" s="4">
        <v>0.16015513835376</v>
      </c>
      <c r="BB189" s="4">
        <v>0.15223484450253599</v>
      </c>
      <c r="BC189" s="4">
        <v>0.17037114084059199</v>
      </c>
      <c r="BD189" s="4">
        <v>7.5167954377851204E-2</v>
      </c>
      <c r="BE189" s="4">
        <v>6.5814164547430595E-2</v>
      </c>
      <c r="BF189" s="4">
        <v>8.7232953728111795E-2</v>
      </c>
      <c r="BG189" s="4">
        <v>8.8997595569990803E-2</v>
      </c>
      <c r="BH189" s="4">
        <v>7.2227183997044905E-2</v>
      </c>
      <c r="BI189" s="4">
        <v>0.110628935208728</v>
      </c>
      <c r="BJ189" s="4">
        <v>7.05621724619339E-2</v>
      </c>
      <c r="BK189" s="4">
        <v>6.0230616449060199E-2</v>
      </c>
      <c r="BL189" s="4">
        <v>8.3888344937726594E-2</v>
      </c>
      <c r="BM189" s="4">
        <v>2.23332870506899E-2</v>
      </c>
      <c r="BN189" s="4">
        <v>3.0773767883273899E-2</v>
      </c>
      <c r="BO189" s="4">
        <v>1.1446320633096901E-2</v>
      </c>
      <c r="BP189" s="4">
        <v>3.12824306950759E-2</v>
      </c>
      <c r="BQ189" s="4">
        <v>3.3411709548638299E-2</v>
      </c>
      <c r="BR189" s="4">
        <v>2.8535977284159599E-2</v>
      </c>
      <c r="BS189" s="4">
        <v>7.3575708734655201E-2</v>
      </c>
      <c r="BT189" s="4">
        <v>9.8848531689090302E-2</v>
      </c>
      <c r="BU189" s="4">
        <v>4.0977521470189099E-2</v>
      </c>
      <c r="BV189" s="4">
        <v>8.2369957309263206E-2</v>
      </c>
      <c r="BW189" s="4">
        <v>9.8328100359441395E-2</v>
      </c>
      <c r="BX189" s="4">
        <v>6.1786323400192598E-2</v>
      </c>
      <c r="BY189" s="4">
        <v>8.7637337208804497E-2</v>
      </c>
      <c r="BZ189" s="4">
        <v>6.8564661087984993E-2</v>
      </c>
      <c r="CA189" s="4">
        <v>0.112238256106623</v>
      </c>
      <c r="CB189" s="4">
        <v>4.8364647476308802E-2</v>
      </c>
      <c r="CC189" s="4">
        <v>3.21855228948527E-2</v>
      </c>
      <c r="CD189" s="4">
        <v>6.9233314733318896E-2</v>
      </c>
      <c r="CE189" s="4">
        <v>2.8772921212402498E-2</v>
      </c>
      <c r="CF189" s="4">
        <v>2.7403526219330301E-2</v>
      </c>
      <c r="CG189" s="4">
        <v>3.05392373261059E-2</v>
      </c>
      <c r="CH189" s="4">
        <v>2.2261662325834899E-2</v>
      </c>
      <c r="CI189" s="4">
        <v>2.23470697714067E-2</v>
      </c>
      <c r="CJ189" s="4">
        <v>2.2151499408556201E-2</v>
      </c>
      <c r="CK189" s="4">
        <v>1.4133726962547499E-2</v>
      </c>
      <c r="CL189" s="4">
        <v>9.1227925611263392E-3</v>
      </c>
      <c r="CM189" s="4">
        <v>2.0597087952413301E-2</v>
      </c>
      <c r="CN189" s="4">
        <v>8.2914542099932903E-3</v>
      </c>
      <c r="CO189" s="4">
        <v>1.85556992058192E-3</v>
      </c>
      <c r="CP189" s="4">
        <v>1.6592788875175599E-2</v>
      </c>
      <c r="CQ189" s="4">
        <v>2.3188798373198399E-2</v>
      </c>
      <c r="CR189" s="4">
        <v>3.2501899498486898E-2</v>
      </c>
      <c r="CS189" s="4">
        <v>1.11762814081402E-2</v>
      </c>
      <c r="CT189" s="1">
        <f>Table1[[#This Row],[Female %]]*Table1[[#This Row],[NWS_pin]]</f>
        <v>0</v>
      </c>
      <c r="CU189" s="1">
        <f>Table1[[#This Row],[Male %]]*Table1[[#This Row],[NWS_pin]]</f>
        <v>0</v>
      </c>
      <c r="CV189" s="1">
        <f>Table1[[#This Row],[Female% (0-2)22]]+Table1[[#This Row],[Male%(0-2)3]]</f>
        <v>0</v>
      </c>
      <c r="CW189" s="1">
        <f>$CT189*Table1[[#This Row],[Female% (0-2)]]</f>
        <v>0</v>
      </c>
      <c r="CX189" s="1">
        <f>$CU189*Table1[[#This Row],[Male%(0-2)]]</f>
        <v>0</v>
      </c>
      <c r="CY189" s="1">
        <f>Table1[[#This Row],[Female%  (3-5)5]]+Table1[[#This Row],[Male% (3-5)6]]</f>
        <v>0</v>
      </c>
      <c r="CZ189" s="1">
        <f>$AF189*Table1[[#This Row],[Female%  (3-5)]]</f>
        <v>0</v>
      </c>
      <c r="DA189" s="1">
        <f>$CU189*Table1[[#This Row],[Male% (3-5)]]</f>
        <v>0</v>
      </c>
      <c r="DB189" s="1">
        <f>Table1[[#This Row],[Female% (6-8)8]]+Table1[[#This Row],[Male%(6-8)9]]</f>
        <v>0</v>
      </c>
      <c r="DC189" s="1">
        <f>$CT189*Table1[[#This Row],[Female% (6-8)]]</f>
        <v>0</v>
      </c>
      <c r="DD189" s="1">
        <f>$CU189*Table1[[#This Row],[Male%(6-8)]]</f>
        <v>0</v>
      </c>
      <c r="DE189" s="1">
        <f>Table1[[#This Row],[Female% (9 - 11)11]]+Table1[[#This Row],[Male% (9 - 11)12]]</f>
        <v>0</v>
      </c>
      <c r="DF189" s="1">
        <f>$CT189*Table1[[#This Row],[Female% (9 - 11)]]</f>
        <v>0</v>
      </c>
      <c r="DG189" s="1">
        <f>$CU189*Table1[[#This Row],[Male% (9 - 11)]]</f>
        <v>0</v>
      </c>
      <c r="DH189" s="1">
        <f>Table1[[#This Row],[Female% (12-14)14]]+Table1[[#This Row],[Male%(12-14)15]]</f>
        <v>0</v>
      </c>
      <c r="DI189" s="1">
        <f>$CT189*Table1[[#This Row],[Female% (12-14)]]</f>
        <v>0</v>
      </c>
      <c r="DJ189" s="1">
        <f>$CU189*Table1[[#This Row],[Male%(12-14)]]</f>
        <v>0</v>
      </c>
      <c r="DK189" s="1">
        <f>Table1[[#This Row],[Female% (15-17)17]]+Table1[[#This Row],[Male%(15-17)18]]</f>
        <v>0</v>
      </c>
      <c r="DL189" s="1">
        <f>$CT189*Table1[[#This Row],[Female% (15-17)]]</f>
        <v>0</v>
      </c>
      <c r="DM189" s="1">
        <f>$CU189*Table1[[#This Row],[Male%(15-17)]]</f>
        <v>0</v>
      </c>
      <c r="DN189" s="1">
        <f>$AF189*Table1[[#This Row],[Total% (18-19)]]</f>
        <v>0</v>
      </c>
      <c r="DO189" s="1">
        <f>$CT189*Table1[[#This Row],[Female% (18-19)]]</f>
        <v>0</v>
      </c>
      <c r="DP189" s="1">
        <f>$CU189*Table1[[#This Row],[Male%(18-19)]]</f>
        <v>0</v>
      </c>
      <c r="DQ189" s="1">
        <f>$AF189*Table1[[#This Row],[Total% (20-24)]]</f>
        <v>0</v>
      </c>
      <c r="DR189" s="1">
        <f>$CT189*Table1[[#This Row],[Female% (20-24)]]</f>
        <v>0</v>
      </c>
      <c r="DS189" s="1">
        <f>$CU189*Table1[[#This Row],[Male% (20-24)]]</f>
        <v>0</v>
      </c>
      <c r="DT189" s="1">
        <f>$AF189*Table1[[#This Row],[Total% (25-29)]]</f>
        <v>0</v>
      </c>
      <c r="DU189" s="1">
        <f>$CT189*Table1[[#This Row],[Female% (25-29)]]</f>
        <v>0</v>
      </c>
      <c r="DV189" s="1">
        <f>$CU189*Table1[[#This Row],[Male% (25-29)]]</f>
        <v>0</v>
      </c>
      <c r="DW189" s="1">
        <f>$AF189*Table1[[#This Row],[Total%   (30-34)]]</f>
        <v>0</v>
      </c>
      <c r="DX189" s="1">
        <f>$CT189*Table1[[#This Row],[Female%   (30-34)]]</f>
        <v>0</v>
      </c>
      <c r="DY189" s="1">
        <f>$CU189*Table1[[#This Row],[Male%  (30-34)]]</f>
        <v>0</v>
      </c>
      <c r="DZ189" s="1">
        <f>$AF189*Table1[[#This Row],[Total% (35-39)]]</f>
        <v>0</v>
      </c>
      <c r="EA189" s="1">
        <f>$CT189*Table1[[#This Row],[Female% (35-39)]]</f>
        <v>0</v>
      </c>
      <c r="EB189" s="1">
        <f>$CU189*Table1[[#This Row],[Male% (35-39)]]</f>
        <v>0</v>
      </c>
      <c r="EC189" s="1">
        <f>$AF189*Table1[[#This Row],[Total% (40-44)]]</f>
        <v>0</v>
      </c>
      <c r="ED189" s="1">
        <f>$CT189*Table1[[#This Row],[Female% (40-44)]]</f>
        <v>0</v>
      </c>
      <c r="EE189" s="1">
        <f>$CU189*Table1[[#This Row],[Male%(55-59)]]</f>
        <v>0</v>
      </c>
      <c r="EF189" s="1">
        <f>$AF189*Table1[[#This Row],[Total% (45-49)]]</f>
        <v>0</v>
      </c>
      <c r="EG189" s="1">
        <f>$CT189*Table1[[#This Row],[Female% (45-49)]]</f>
        <v>0</v>
      </c>
      <c r="EH189" s="1">
        <f>$CU189*Table1[[#This Row],[Male% (45-49)]]</f>
        <v>0</v>
      </c>
      <c r="EI189" s="1">
        <f>$AF189*Table1[[#This Row],[Total% (50-54)]]</f>
        <v>0</v>
      </c>
      <c r="EJ189" s="1">
        <f>$CT189*Table1[[#This Row],[Female%(50-54)]]</f>
        <v>0</v>
      </c>
      <c r="EK189" s="1">
        <f>$CU189*Table1[[#This Row],[Male% (50-54)]]</f>
        <v>0</v>
      </c>
      <c r="EL189" s="1">
        <f>$AF189*Table1[[#This Row],[Total% (55-59)]]</f>
        <v>0</v>
      </c>
      <c r="EM189" s="1">
        <f>$CT189*Table1[[#This Row],[Female% (55-59)]]</f>
        <v>0</v>
      </c>
      <c r="EN189" s="1">
        <f>$CU189*Table1[[#This Row],[Male% (55-59)]]</f>
        <v>0</v>
      </c>
      <c r="EO189" s="1">
        <f>$AF189*Table1[[#This Row],[Total% (60-64)]]</f>
        <v>0</v>
      </c>
      <c r="EP189" s="1">
        <f>$CT189*Table1[[#This Row],[Female%(60-64)]]</f>
        <v>0</v>
      </c>
      <c r="EQ189" s="1">
        <f>$CU189*Table1[[#This Row],[Male%(60-64)]]</f>
        <v>0</v>
      </c>
      <c r="ER189" s="1">
        <f>$AF189*Table1[[#This Row],[Total% (&gt;=65)]]</f>
        <v>0</v>
      </c>
      <c r="ES189" s="1">
        <f>$CT189*Table1[[#This Row],[Female%(&gt;=65)]]</f>
        <v>0</v>
      </c>
      <c r="ET189" s="1">
        <f>$CU189*Table1[[#This Row],[Male% (&gt;=65)]]</f>
        <v>0</v>
      </c>
    </row>
    <row r="190" spans="1:150" hidden="1" x14ac:dyDescent="0.35">
      <c r="A190" t="s">
        <v>157</v>
      </c>
      <c r="B190" t="s">
        <v>158</v>
      </c>
      <c r="C190" t="s">
        <v>157</v>
      </c>
      <c r="D190" t="s">
        <v>273</v>
      </c>
      <c r="E190" t="s">
        <v>350</v>
      </c>
      <c r="F190" t="s">
        <v>351</v>
      </c>
      <c r="H190">
        <v>3</v>
      </c>
      <c r="I190" s="1">
        <v>0</v>
      </c>
      <c r="J190" s="1">
        <v>0</v>
      </c>
      <c r="K190" s="1">
        <v>85098</v>
      </c>
      <c r="L190" s="1">
        <v>26556</v>
      </c>
      <c r="M190" s="1">
        <v>0</v>
      </c>
      <c r="N190" s="1">
        <v>111654</v>
      </c>
      <c r="O190" s="3">
        <v>0</v>
      </c>
      <c r="P190" s="3">
        <v>1</v>
      </c>
      <c r="Q190" s="3">
        <v>0</v>
      </c>
      <c r="R190" s="3">
        <v>0</v>
      </c>
      <c r="S190" s="3">
        <v>0</v>
      </c>
      <c r="T190" s="1">
        <v>111654</v>
      </c>
      <c r="U190" s="1">
        <v>0</v>
      </c>
      <c r="V190" s="10">
        <f>Table1[[#This Row],[Pop NW+RATAA]]*Table1[[#This Row],[Perc_pop_Northern_Aleppo]]</f>
        <v>0</v>
      </c>
      <c r="W190" s="10">
        <f>Table1[[#This Row],[Pop NW+RATAA]]*Table1[[#This Row],[Perc_pop_Afrin District]]</f>
        <v>0</v>
      </c>
      <c r="X190" s="10">
        <f>Table1[[#This Row],[Pop NW+RATAA]]*Table1[[#This Row],[Perc_pop_Euphrates Shiled]]</f>
        <v>0</v>
      </c>
      <c r="Y190" s="10">
        <f>Table1[[#This Row],[Pop NW+RATAA]]*Table1[[#This Row],[Perc_Pop_Idleb_NSAG]]</f>
        <v>0</v>
      </c>
      <c r="Z190" s="3">
        <v>0</v>
      </c>
      <c r="AA190" s="3">
        <v>0</v>
      </c>
      <c r="AB190" s="3">
        <v>0</v>
      </c>
      <c r="AC190" s="3">
        <v>0</v>
      </c>
      <c r="AD190" s="1">
        <v>0</v>
      </c>
      <c r="AE190" s="1">
        <v>111654</v>
      </c>
      <c r="AF190" s="1">
        <v>0</v>
      </c>
      <c r="AG190" s="1">
        <v>0</v>
      </c>
      <c r="AH190" s="1">
        <v>0</v>
      </c>
      <c r="AI190" s="1">
        <f>Table1[[#This Row],[NWS_pin]]*Table1[[#This Row],[Perc_pop_Northern_Aleppo]]</f>
        <v>0</v>
      </c>
      <c r="AJ190" s="1">
        <f>Table1[[#This Row],[NWS_pin]]*Table1[[#This Row],[Perc_pop_Afrin District]]</f>
        <v>0</v>
      </c>
      <c r="AK190" s="1">
        <f>Table1[[#This Row],[NWS_pin]]*Table1[[#This Row],[Perc_pop_Euphrates Shiled]]</f>
        <v>0</v>
      </c>
      <c r="AL190" s="1">
        <f>Table1[[#This Row],[NWS_pin]]*Table1[[#This Row],[Perc_Pop_Idleb_NSAG]]</f>
        <v>0</v>
      </c>
      <c r="AM190" s="4">
        <v>0.50611342421698402</v>
      </c>
      <c r="AN190" s="4">
        <v>0.49388657578301598</v>
      </c>
      <c r="AO190" s="4">
        <v>0.119126868880692</v>
      </c>
      <c r="AP190" s="4">
        <v>0.47325836841253399</v>
      </c>
      <c r="AQ190" s="4">
        <v>0.462947813417389</v>
      </c>
      <c r="AR190" s="4">
        <v>0</v>
      </c>
      <c r="AS190" s="4">
        <v>0</v>
      </c>
      <c r="AT190" s="4">
        <v>6.3793818170076705E-2</v>
      </c>
      <c r="AU190" s="4">
        <v>7.1868645361623906E-2</v>
      </c>
      <c r="AV190" s="4">
        <v>5.6497577040148197E-2</v>
      </c>
      <c r="AW190" s="4">
        <v>8.7620245837343499E-2</v>
      </c>
      <c r="AX190" s="4">
        <v>0.116900398331793</v>
      </c>
      <c r="AY190" s="4">
        <v>0.11792262182786301</v>
      </c>
      <c r="AZ190" s="4">
        <v>0.11585286827270801</v>
      </c>
      <c r="BA190" s="4">
        <v>0.137200012057484</v>
      </c>
      <c r="BB190" s="4">
        <v>0.14934628685179799</v>
      </c>
      <c r="BC190" s="4">
        <v>0.124753039353509</v>
      </c>
      <c r="BD190" s="4">
        <v>8.2560928432128394E-2</v>
      </c>
      <c r="BE190" s="4">
        <v>8.1049290331787704E-2</v>
      </c>
      <c r="BF190" s="4">
        <v>8.4109989234049207E-2</v>
      </c>
      <c r="BG190" s="4">
        <v>8.5094510845360002E-2</v>
      </c>
      <c r="BH190" s="4">
        <v>4.7154209899568499E-2</v>
      </c>
      <c r="BI190" s="4">
        <v>0.123974076658734</v>
      </c>
      <c r="BJ190" s="4">
        <v>7.8565044485554902E-2</v>
      </c>
      <c r="BK190" s="4">
        <v>8.6891552387155194E-2</v>
      </c>
      <c r="BL190" s="4">
        <v>7.0032402311250894E-2</v>
      </c>
      <c r="BM190" s="4">
        <v>3.6065547310624703E-2</v>
      </c>
      <c r="BN190" s="4">
        <v>3.4233941679314497E-2</v>
      </c>
      <c r="BO190" s="4">
        <v>3.7942496884335701E-2</v>
      </c>
      <c r="BP190" s="4">
        <v>1.6465540323770001E-2</v>
      </c>
      <c r="BQ190" s="4">
        <v>1.1967903563613101E-2</v>
      </c>
      <c r="BR190" s="4">
        <v>2.10745223313458E-2</v>
      </c>
      <c r="BS190" s="4">
        <v>4.7175973002439399E-2</v>
      </c>
      <c r="BT190" s="4">
        <v>7.8800821450921696E-2</v>
      </c>
      <c r="BU190" s="4">
        <v>1.4768207488204199E-2</v>
      </c>
      <c r="BV190" s="4">
        <v>5.1767361025894298E-2</v>
      </c>
      <c r="BW190" s="4">
        <v>8.0719020753613105E-2</v>
      </c>
      <c r="BX190" s="4">
        <v>2.2098962733574101E-2</v>
      </c>
      <c r="BY190" s="4">
        <v>5.7756746460527898E-2</v>
      </c>
      <c r="BZ190" s="4">
        <v>4.9015835246739199E-2</v>
      </c>
      <c r="CA190" s="4">
        <v>6.6714051076822697E-2</v>
      </c>
      <c r="CB190" s="4">
        <v>2.7074799218209301E-2</v>
      </c>
      <c r="CC190" s="4">
        <v>1.65735477804188E-2</v>
      </c>
      <c r="CD190" s="4">
        <v>3.7836023726726099E-2</v>
      </c>
      <c r="CE190" s="4">
        <v>4.60768331446956E-2</v>
      </c>
      <c r="CF190" s="4">
        <v>7.8685634838780605E-2</v>
      </c>
      <c r="CG190" s="4">
        <v>1.26607552550696E-2</v>
      </c>
      <c r="CH190" s="4">
        <v>3.9788295352628698E-2</v>
      </c>
      <c r="CI190" s="4">
        <v>4.5610112248698202E-2</v>
      </c>
      <c r="CJ190" s="4">
        <v>3.38223512899406E-2</v>
      </c>
      <c r="CK190" s="4">
        <v>6.0601457643630202E-2</v>
      </c>
      <c r="CL190" s="4">
        <v>4.0262308020796202E-2</v>
      </c>
      <c r="CM190" s="4">
        <v>8.1444131176422394E-2</v>
      </c>
      <c r="CN190" s="4">
        <v>1.1605954362719601E-2</v>
      </c>
      <c r="CO190" s="4">
        <v>4.8746799512313496E-3</v>
      </c>
      <c r="CP190" s="4">
        <v>1.85038708253028E-2</v>
      </c>
      <c r="CQ190" s="4">
        <v>3.3431952640916897E-2</v>
      </c>
      <c r="CR190" s="4">
        <v>2.0394656127552799E-2</v>
      </c>
      <c r="CS190" s="4">
        <v>4.6792005544662403E-2</v>
      </c>
      <c r="CT190" s="1">
        <f>Table1[[#This Row],[Female %]]*Table1[[#This Row],[NWS_pin]]</f>
        <v>0</v>
      </c>
      <c r="CU190" s="1">
        <f>Table1[[#This Row],[Male %]]*Table1[[#This Row],[NWS_pin]]</f>
        <v>0</v>
      </c>
      <c r="CV190" s="1">
        <f>Table1[[#This Row],[Female% (0-2)22]]+Table1[[#This Row],[Male%(0-2)3]]</f>
        <v>0</v>
      </c>
      <c r="CW190" s="1">
        <f>$CT190*Table1[[#This Row],[Female% (0-2)]]</f>
        <v>0</v>
      </c>
      <c r="CX190" s="1">
        <f>$CU190*Table1[[#This Row],[Male%(0-2)]]</f>
        <v>0</v>
      </c>
      <c r="CY190" s="1">
        <f>Table1[[#This Row],[Female%  (3-5)5]]+Table1[[#This Row],[Male% (3-5)6]]</f>
        <v>0</v>
      </c>
      <c r="CZ190" s="1">
        <f>$AF190*Table1[[#This Row],[Female%  (3-5)]]</f>
        <v>0</v>
      </c>
      <c r="DA190" s="1">
        <f>$CU190*Table1[[#This Row],[Male% (3-5)]]</f>
        <v>0</v>
      </c>
      <c r="DB190" s="1">
        <f>Table1[[#This Row],[Female% (6-8)8]]+Table1[[#This Row],[Male%(6-8)9]]</f>
        <v>0</v>
      </c>
      <c r="DC190" s="1">
        <f>$CT190*Table1[[#This Row],[Female% (6-8)]]</f>
        <v>0</v>
      </c>
      <c r="DD190" s="1">
        <f>$CU190*Table1[[#This Row],[Male%(6-8)]]</f>
        <v>0</v>
      </c>
      <c r="DE190" s="1">
        <f>Table1[[#This Row],[Female% (9 - 11)11]]+Table1[[#This Row],[Male% (9 - 11)12]]</f>
        <v>0</v>
      </c>
      <c r="DF190" s="1">
        <f>$CT190*Table1[[#This Row],[Female% (9 - 11)]]</f>
        <v>0</v>
      </c>
      <c r="DG190" s="1">
        <f>$CU190*Table1[[#This Row],[Male% (9 - 11)]]</f>
        <v>0</v>
      </c>
      <c r="DH190" s="1">
        <f>Table1[[#This Row],[Female% (12-14)14]]+Table1[[#This Row],[Male%(12-14)15]]</f>
        <v>0</v>
      </c>
      <c r="DI190" s="1">
        <f>$CT190*Table1[[#This Row],[Female% (12-14)]]</f>
        <v>0</v>
      </c>
      <c r="DJ190" s="1">
        <f>$CU190*Table1[[#This Row],[Male%(12-14)]]</f>
        <v>0</v>
      </c>
      <c r="DK190" s="1">
        <f>Table1[[#This Row],[Female% (15-17)17]]+Table1[[#This Row],[Male%(15-17)18]]</f>
        <v>0</v>
      </c>
      <c r="DL190" s="1">
        <f>$CT190*Table1[[#This Row],[Female% (15-17)]]</f>
        <v>0</v>
      </c>
      <c r="DM190" s="1">
        <f>$CU190*Table1[[#This Row],[Male%(15-17)]]</f>
        <v>0</v>
      </c>
      <c r="DN190" s="1">
        <f>$AF190*Table1[[#This Row],[Total% (18-19)]]</f>
        <v>0</v>
      </c>
      <c r="DO190" s="1">
        <f>$CT190*Table1[[#This Row],[Female% (18-19)]]</f>
        <v>0</v>
      </c>
      <c r="DP190" s="1">
        <f>$CU190*Table1[[#This Row],[Male%(18-19)]]</f>
        <v>0</v>
      </c>
      <c r="DQ190" s="1">
        <f>$AF190*Table1[[#This Row],[Total% (20-24)]]</f>
        <v>0</v>
      </c>
      <c r="DR190" s="1">
        <f>$CT190*Table1[[#This Row],[Female% (20-24)]]</f>
        <v>0</v>
      </c>
      <c r="DS190" s="1">
        <f>$CU190*Table1[[#This Row],[Male% (20-24)]]</f>
        <v>0</v>
      </c>
      <c r="DT190" s="1">
        <f>$AF190*Table1[[#This Row],[Total% (25-29)]]</f>
        <v>0</v>
      </c>
      <c r="DU190" s="1">
        <f>$CT190*Table1[[#This Row],[Female% (25-29)]]</f>
        <v>0</v>
      </c>
      <c r="DV190" s="1">
        <f>$CU190*Table1[[#This Row],[Male% (25-29)]]</f>
        <v>0</v>
      </c>
      <c r="DW190" s="1">
        <f>$AF190*Table1[[#This Row],[Total%   (30-34)]]</f>
        <v>0</v>
      </c>
      <c r="DX190" s="1">
        <f>$CT190*Table1[[#This Row],[Female%   (30-34)]]</f>
        <v>0</v>
      </c>
      <c r="DY190" s="1">
        <f>$CU190*Table1[[#This Row],[Male%  (30-34)]]</f>
        <v>0</v>
      </c>
      <c r="DZ190" s="1">
        <f>$AF190*Table1[[#This Row],[Total% (35-39)]]</f>
        <v>0</v>
      </c>
      <c r="EA190" s="1">
        <f>$CT190*Table1[[#This Row],[Female% (35-39)]]</f>
        <v>0</v>
      </c>
      <c r="EB190" s="1">
        <f>$CU190*Table1[[#This Row],[Male% (35-39)]]</f>
        <v>0</v>
      </c>
      <c r="EC190" s="1">
        <f>$AF190*Table1[[#This Row],[Total% (40-44)]]</f>
        <v>0</v>
      </c>
      <c r="ED190" s="1">
        <f>$CT190*Table1[[#This Row],[Female% (40-44)]]</f>
        <v>0</v>
      </c>
      <c r="EE190" s="1">
        <f>$CU190*Table1[[#This Row],[Male%(55-59)]]</f>
        <v>0</v>
      </c>
      <c r="EF190" s="1">
        <f>$AF190*Table1[[#This Row],[Total% (45-49)]]</f>
        <v>0</v>
      </c>
      <c r="EG190" s="1">
        <f>$CT190*Table1[[#This Row],[Female% (45-49)]]</f>
        <v>0</v>
      </c>
      <c r="EH190" s="1">
        <f>$CU190*Table1[[#This Row],[Male% (45-49)]]</f>
        <v>0</v>
      </c>
      <c r="EI190" s="1">
        <f>$AF190*Table1[[#This Row],[Total% (50-54)]]</f>
        <v>0</v>
      </c>
      <c r="EJ190" s="1">
        <f>$CT190*Table1[[#This Row],[Female%(50-54)]]</f>
        <v>0</v>
      </c>
      <c r="EK190" s="1">
        <f>$CU190*Table1[[#This Row],[Male% (50-54)]]</f>
        <v>0</v>
      </c>
      <c r="EL190" s="1">
        <f>$AF190*Table1[[#This Row],[Total% (55-59)]]</f>
        <v>0</v>
      </c>
      <c r="EM190" s="1">
        <f>$CT190*Table1[[#This Row],[Female% (55-59)]]</f>
        <v>0</v>
      </c>
      <c r="EN190" s="1">
        <f>$CU190*Table1[[#This Row],[Male% (55-59)]]</f>
        <v>0</v>
      </c>
      <c r="EO190" s="1">
        <f>$AF190*Table1[[#This Row],[Total% (60-64)]]</f>
        <v>0</v>
      </c>
      <c r="EP190" s="1">
        <f>$CT190*Table1[[#This Row],[Female%(60-64)]]</f>
        <v>0</v>
      </c>
      <c r="EQ190" s="1">
        <f>$CU190*Table1[[#This Row],[Male%(60-64)]]</f>
        <v>0</v>
      </c>
      <c r="ER190" s="1">
        <f>$AF190*Table1[[#This Row],[Total% (&gt;=65)]]</f>
        <v>0</v>
      </c>
      <c r="ES190" s="1">
        <f>$CT190*Table1[[#This Row],[Female%(&gt;=65)]]</f>
        <v>0</v>
      </c>
      <c r="ET190" s="1">
        <f>$CU190*Table1[[#This Row],[Male% (&gt;=65)]]</f>
        <v>0</v>
      </c>
    </row>
    <row r="191" spans="1:150" hidden="1" x14ac:dyDescent="0.35">
      <c r="A191" t="s">
        <v>157</v>
      </c>
      <c r="B191" t="s">
        <v>158</v>
      </c>
      <c r="C191" t="s">
        <v>157</v>
      </c>
      <c r="D191" t="s">
        <v>273</v>
      </c>
      <c r="E191" t="s">
        <v>514</v>
      </c>
      <c r="F191" t="s">
        <v>515</v>
      </c>
      <c r="H191">
        <v>4</v>
      </c>
      <c r="I191" s="1">
        <v>0</v>
      </c>
      <c r="J191" s="1">
        <v>1128</v>
      </c>
      <c r="K191" s="1">
        <v>26186</v>
      </c>
      <c r="L191" s="1">
        <v>11716</v>
      </c>
      <c r="M191" s="1">
        <v>0</v>
      </c>
      <c r="N191" s="1">
        <v>37902</v>
      </c>
      <c r="O191" s="3">
        <v>0</v>
      </c>
      <c r="P191" s="3">
        <v>1</v>
      </c>
      <c r="Q191" s="3">
        <v>0</v>
      </c>
      <c r="R191" s="3">
        <v>0</v>
      </c>
      <c r="S191" s="3">
        <v>0</v>
      </c>
      <c r="T191" s="1">
        <v>39030</v>
      </c>
      <c r="U191" s="1">
        <v>0</v>
      </c>
      <c r="V191" s="10">
        <f>Table1[[#This Row],[Pop NW+RATAA]]*Table1[[#This Row],[Perc_pop_Northern_Aleppo]]</f>
        <v>0</v>
      </c>
      <c r="W191" s="10">
        <f>Table1[[#This Row],[Pop NW+RATAA]]*Table1[[#This Row],[Perc_pop_Afrin District]]</f>
        <v>0</v>
      </c>
      <c r="X191" s="10">
        <f>Table1[[#This Row],[Pop NW+RATAA]]*Table1[[#This Row],[Perc_pop_Euphrates Shiled]]</f>
        <v>0</v>
      </c>
      <c r="Y191" s="10">
        <f>Table1[[#This Row],[Pop NW+RATAA]]*Table1[[#This Row],[Perc_Pop_Idleb_NSAG]]</f>
        <v>0</v>
      </c>
      <c r="Z191" s="3">
        <v>0</v>
      </c>
      <c r="AA191" s="3">
        <v>0</v>
      </c>
      <c r="AB191" s="3">
        <v>0</v>
      </c>
      <c r="AC191" s="3">
        <v>0</v>
      </c>
      <c r="AD191" s="1">
        <v>0</v>
      </c>
      <c r="AE191" s="1">
        <v>37902</v>
      </c>
      <c r="AF191" s="1">
        <v>0</v>
      </c>
      <c r="AG191" s="1">
        <v>0</v>
      </c>
      <c r="AH191" s="1">
        <v>0</v>
      </c>
      <c r="AI191" s="1">
        <f>Table1[[#This Row],[NWS_pin]]*Table1[[#This Row],[Perc_pop_Northern_Aleppo]]</f>
        <v>0</v>
      </c>
      <c r="AJ191" s="1">
        <f>Table1[[#This Row],[NWS_pin]]*Table1[[#This Row],[Perc_pop_Afrin District]]</f>
        <v>0</v>
      </c>
      <c r="AK191" s="1">
        <f>Table1[[#This Row],[NWS_pin]]*Table1[[#This Row],[Perc_pop_Euphrates Shiled]]</f>
        <v>0</v>
      </c>
      <c r="AL191" s="1">
        <f>Table1[[#This Row],[NWS_pin]]*Table1[[#This Row],[Perc_Pop_Idleb_NSAG]]</f>
        <v>0</v>
      </c>
      <c r="AM191" s="4">
        <v>0.46431933634689199</v>
      </c>
      <c r="AN191" s="4">
        <v>0.53568066365310796</v>
      </c>
      <c r="AO191" s="4">
        <v>0.110564169576022</v>
      </c>
      <c r="AP191" s="4">
        <v>0.59489129111420003</v>
      </c>
      <c r="AQ191" s="4">
        <v>0.400319666819901</v>
      </c>
      <c r="AR191" s="4">
        <v>0</v>
      </c>
      <c r="AS191" s="4">
        <v>0</v>
      </c>
      <c r="AT191" s="4">
        <v>4.7890420658994503E-3</v>
      </c>
      <c r="AU191" s="4">
        <v>3.54443394088143E-2</v>
      </c>
      <c r="AV191" s="4">
        <v>3.3339673275612797E-2</v>
      </c>
      <c r="AW191" s="4">
        <v>3.7268629976884397E-2</v>
      </c>
      <c r="AX191" s="4">
        <v>8.5480027359949001E-2</v>
      </c>
      <c r="AY191" s="4">
        <v>0.100971248151006</v>
      </c>
      <c r="AZ191" s="4">
        <v>7.2052487698810994E-2</v>
      </c>
      <c r="BA191" s="4">
        <v>0.147828149676419</v>
      </c>
      <c r="BB191" s="4">
        <v>0.149696074940908</v>
      </c>
      <c r="BC191" s="4">
        <v>0.14620906226482899</v>
      </c>
      <c r="BD191" s="4">
        <v>0.15046326048914599</v>
      </c>
      <c r="BE191" s="4">
        <v>0.119657265327017</v>
      </c>
      <c r="BF191" s="4">
        <v>0.17716539890802999</v>
      </c>
      <c r="BG191" s="4">
        <v>0.122897204820491</v>
      </c>
      <c r="BH191" s="4">
        <v>0.129822347619971</v>
      </c>
      <c r="BI191" s="4">
        <v>0.11689460303375999</v>
      </c>
      <c r="BJ191" s="4">
        <v>7.5410708567130405E-2</v>
      </c>
      <c r="BK191" s="4">
        <v>6.4228598941249507E-2</v>
      </c>
      <c r="BL191" s="4">
        <v>8.51031803562734E-2</v>
      </c>
      <c r="BM191" s="4">
        <v>2.8196047985142799E-2</v>
      </c>
      <c r="BN191" s="4">
        <v>2.1465136625358101E-2</v>
      </c>
      <c r="BO191" s="4">
        <v>3.4030293101014401E-2</v>
      </c>
      <c r="BP191" s="4">
        <v>3.82775988287219E-2</v>
      </c>
      <c r="BQ191" s="4">
        <v>4.22960942919237E-2</v>
      </c>
      <c r="BR191" s="4">
        <v>3.4794431947426499E-2</v>
      </c>
      <c r="BS191" s="4">
        <v>1.5449784784952399E-2</v>
      </c>
      <c r="BT191" s="4">
        <v>2.4659958656848498E-2</v>
      </c>
      <c r="BU191" s="4">
        <v>7.4665550176603304E-3</v>
      </c>
      <c r="BV191" s="4">
        <v>4.3816688151974099E-2</v>
      </c>
      <c r="BW191" s="4">
        <v>5.3086555823402E-2</v>
      </c>
      <c r="BX191" s="4">
        <v>3.5781716764602602E-2</v>
      </c>
      <c r="BY191" s="4">
        <v>6.4489893651910199E-2</v>
      </c>
      <c r="BZ191" s="4">
        <v>8.0370725376791796E-2</v>
      </c>
      <c r="CA191" s="4">
        <v>5.0724645534033802E-2</v>
      </c>
      <c r="CB191" s="4">
        <v>6.8922787994481996E-2</v>
      </c>
      <c r="CC191" s="4">
        <v>7.7301909175041594E-2</v>
      </c>
      <c r="CD191" s="4">
        <v>6.1659901260442497E-2</v>
      </c>
      <c r="CE191" s="4">
        <v>5.1132596107905701E-2</v>
      </c>
      <c r="CF191" s="4">
        <v>5.47298561249921E-2</v>
      </c>
      <c r="CG191" s="4">
        <v>4.8014549299177901E-2</v>
      </c>
      <c r="CH191" s="4">
        <v>3.7053929340401498E-2</v>
      </c>
      <c r="CI191" s="4">
        <v>2.3189029586536399E-2</v>
      </c>
      <c r="CJ191" s="4">
        <v>4.9071800227000702E-2</v>
      </c>
      <c r="CK191" s="4">
        <v>1.4008924364342401E-2</v>
      </c>
      <c r="CL191" s="4">
        <v>1.44677301148002E-2</v>
      </c>
      <c r="CM191" s="4">
        <v>1.3611238959549399E-2</v>
      </c>
      <c r="CN191" s="4">
        <v>1.3588928854830099E-2</v>
      </c>
      <c r="CO191" s="4">
        <v>6.2600793577389799E-3</v>
      </c>
      <c r="CP191" s="4">
        <v>1.9941457078397298E-2</v>
      </c>
      <c r="CQ191" s="4">
        <v>7.5391296133868703E-3</v>
      </c>
      <c r="CR191" s="4">
        <v>4.4577166108017603E-3</v>
      </c>
      <c r="CS191" s="4">
        <v>1.02100485721073E-2</v>
      </c>
      <c r="CT191" s="1">
        <f>Table1[[#This Row],[Female %]]*Table1[[#This Row],[NWS_pin]]</f>
        <v>0</v>
      </c>
      <c r="CU191" s="1">
        <f>Table1[[#This Row],[Male %]]*Table1[[#This Row],[NWS_pin]]</f>
        <v>0</v>
      </c>
      <c r="CV191" s="1">
        <f>Table1[[#This Row],[Female% (0-2)22]]+Table1[[#This Row],[Male%(0-2)3]]</f>
        <v>0</v>
      </c>
      <c r="CW191" s="1">
        <f>$CT191*Table1[[#This Row],[Female% (0-2)]]</f>
        <v>0</v>
      </c>
      <c r="CX191" s="1">
        <f>$CU191*Table1[[#This Row],[Male%(0-2)]]</f>
        <v>0</v>
      </c>
      <c r="CY191" s="1">
        <f>Table1[[#This Row],[Female%  (3-5)5]]+Table1[[#This Row],[Male% (3-5)6]]</f>
        <v>0</v>
      </c>
      <c r="CZ191" s="1">
        <f>$AF191*Table1[[#This Row],[Female%  (3-5)]]</f>
        <v>0</v>
      </c>
      <c r="DA191" s="1">
        <f>$CU191*Table1[[#This Row],[Male% (3-5)]]</f>
        <v>0</v>
      </c>
      <c r="DB191" s="1">
        <f>Table1[[#This Row],[Female% (6-8)8]]+Table1[[#This Row],[Male%(6-8)9]]</f>
        <v>0</v>
      </c>
      <c r="DC191" s="1">
        <f>$CT191*Table1[[#This Row],[Female% (6-8)]]</f>
        <v>0</v>
      </c>
      <c r="DD191" s="1">
        <f>$CU191*Table1[[#This Row],[Male%(6-8)]]</f>
        <v>0</v>
      </c>
      <c r="DE191" s="1">
        <f>Table1[[#This Row],[Female% (9 - 11)11]]+Table1[[#This Row],[Male% (9 - 11)12]]</f>
        <v>0</v>
      </c>
      <c r="DF191" s="1">
        <f>$CT191*Table1[[#This Row],[Female% (9 - 11)]]</f>
        <v>0</v>
      </c>
      <c r="DG191" s="1">
        <f>$CU191*Table1[[#This Row],[Male% (9 - 11)]]</f>
        <v>0</v>
      </c>
      <c r="DH191" s="1">
        <f>Table1[[#This Row],[Female% (12-14)14]]+Table1[[#This Row],[Male%(12-14)15]]</f>
        <v>0</v>
      </c>
      <c r="DI191" s="1">
        <f>$CT191*Table1[[#This Row],[Female% (12-14)]]</f>
        <v>0</v>
      </c>
      <c r="DJ191" s="1">
        <f>$CU191*Table1[[#This Row],[Male%(12-14)]]</f>
        <v>0</v>
      </c>
      <c r="DK191" s="1">
        <f>Table1[[#This Row],[Female% (15-17)17]]+Table1[[#This Row],[Male%(15-17)18]]</f>
        <v>0</v>
      </c>
      <c r="DL191" s="1">
        <f>$CT191*Table1[[#This Row],[Female% (15-17)]]</f>
        <v>0</v>
      </c>
      <c r="DM191" s="1">
        <f>$CU191*Table1[[#This Row],[Male%(15-17)]]</f>
        <v>0</v>
      </c>
      <c r="DN191" s="1">
        <f>$AF191*Table1[[#This Row],[Total% (18-19)]]</f>
        <v>0</v>
      </c>
      <c r="DO191" s="1">
        <f>$CT191*Table1[[#This Row],[Female% (18-19)]]</f>
        <v>0</v>
      </c>
      <c r="DP191" s="1">
        <f>$CU191*Table1[[#This Row],[Male%(18-19)]]</f>
        <v>0</v>
      </c>
      <c r="DQ191" s="1">
        <f>$AF191*Table1[[#This Row],[Total% (20-24)]]</f>
        <v>0</v>
      </c>
      <c r="DR191" s="1">
        <f>$CT191*Table1[[#This Row],[Female% (20-24)]]</f>
        <v>0</v>
      </c>
      <c r="DS191" s="1">
        <f>$CU191*Table1[[#This Row],[Male% (20-24)]]</f>
        <v>0</v>
      </c>
      <c r="DT191" s="1">
        <f>$AF191*Table1[[#This Row],[Total% (25-29)]]</f>
        <v>0</v>
      </c>
      <c r="DU191" s="1">
        <f>$CT191*Table1[[#This Row],[Female% (25-29)]]</f>
        <v>0</v>
      </c>
      <c r="DV191" s="1">
        <f>$CU191*Table1[[#This Row],[Male% (25-29)]]</f>
        <v>0</v>
      </c>
      <c r="DW191" s="1">
        <f>$AF191*Table1[[#This Row],[Total%   (30-34)]]</f>
        <v>0</v>
      </c>
      <c r="DX191" s="1">
        <f>$CT191*Table1[[#This Row],[Female%   (30-34)]]</f>
        <v>0</v>
      </c>
      <c r="DY191" s="1">
        <f>$CU191*Table1[[#This Row],[Male%  (30-34)]]</f>
        <v>0</v>
      </c>
      <c r="DZ191" s="1">
        <f>$AF191*Table1[[#This Row],[Total% (35-39)]]</f>
        <v>0</v>
      </c>
      <c r="EA191" s="1">
        <f>$CT191*Table1[[#This Row],[Female% (35-39)]]</f>
        <v>0</v>
      </c>
      <c r="EB191" s="1">
        <f>$CU191*Table1[[#This Row],[Male% (35-39)]]</f>
        <v>0</v>
      </c>
      <c r="EC191" s="1">
        <f>$AF191*Table1[[#This Row],[Total% (40-44)]]</f>
        <v>0</v>
      </c>
      <c r="ED191" s="1">
        <f>$CT191*Table1[[#This Row],[Female% (40-44)]]</f>
        <v>0</v>
      </c>
      <c r="EE191" s="1">
        <f>$CU191*Table1[[#This Row],[Male%(55-59)]]</f>
        <v>0</v>
      </c>
      <c r="EF191" s="1">
        <f>$AF191*Table1[[#This Row],[Total% (45-49)]]</f>
        <v>0</v>
      </c>
      <c r="EG191" s="1">
        <f>$CT191*Table1[[#This Row],[Female% (45-49)]]</f>
        <v>0</v>
      </c>
      <c r="EH191" s="1">
        <f>$CU191*Table1[[#This Row],[Male% (45-49)]]</f>
        <v>0</v>
      </c>
      <c r="EI191" s="1">
        <f>$AF191*Table1[[#This Row],[Total% (50-54)]]</f>
        <v>0</v>
      </c>
      <c r="EJ191" s="1">
        <f>$CT191*Table1[[#This Row],[Female%(50-54)]]</f>
        <v>0</v>
      </c>
      <c r="EK191" s="1">
        <f>$CU191*Table1[[#This Row],[Male% (50-54)]]</f>
        <v>0</v>
      </c>
      <c r="EL191" s="1">
        <f>$AF191*Table1[[#This Row],[Total% (55-59)]]</f>
        <v>0</v>
      </c>
      <c r="EM191" s="1">
        <f>$CT191*Table1[[#This Row],[Female% (55-59)]]</f>
        <v>0</v>
      </c>
      <c r="EN191" s="1">
        <f>$CU191*Table1[[#This Row],[Male% (55-59)]]</f>
        <v>0</v>
      </c>
      <c r="EO191" s="1">
        <f>$AF191*Table1[[#This Row],[Total% (60-64)]]</f>
        <v>0</v>
      </c>
      <c r="EP191" s="1">
        <f>$CT191*Table1[[#This Row],[Female%(60-64)]]</f>
        <v>0</v>
      </c>
      <c r="EQ191" s="1">
        <f>$CU191*Table1[[#This Row],[Male%(60-64)]]</f>
        <v>0</v>
      </c>
      <c r="ER191" s="1">
        <f>$AF191*Table1[[#This Row],[Total% (&gt;=65)]]</f>
        <v>0</v>
      </c>
      <c r="ES191" s="1">
        <f>$CT191*Table1[[#This Row],[Female%(&gt;=65)]]</f>
        <v>0</v>
      </c>
      <c r="ET191" s="1">
        <f>$CU191*Table1[[#This Row],[Male% (&gt;=65)]]</f>
        <v>0</v>
      </c>
    </row>
    <row r="192" spans="1:150" hidden="1" x14ac:dyDescent="0.35">
      <c r="A192" t="s">
        <v>157</v>
      </c>
      <c r="B192" t="s">
        <v>158</v>
      </c>
      <c r="C192" t="s">
        <v>157</v>
      </c>
      <c r="D192" t="s">
        <v>273</v>
      </c>
      <c r="E192" t="s">
        <v>354</v>
      </c>
      <c r="F192" t="s">
        <v>355</v>
      </c>
      <c r="H192">
        <v>3</v>
      </c>
      <c r="I192" s="1">
        <v>0</v>
      </c>
      <c r="J192" s="1">
        <v>6417</v>
      </c>
      <c r="K192" s="1">
        <v>10008</v>
      </c>
      <c r="L192" s="1">
        <v>163</v>
      </c>
      <c r="M192" s="1">
        <v>0</v>
      </c>
      <c r="N192" s="1">
        <v>10171</v>
      </c>
      <c r="O192" s="3">
        <v>1</v>
      </c>
      <c r="P192" s="3">
        <v>0</v>
      </c>
      <c r="Q192" s="3">
        <v>0</v>
      </c>
      <c r="R192" s="3">
        <v>0</v>
      </c>
      <c r="S192" s="3">
        <v>0</v>
      </c>
      <c r="T192" s="1">
        <v>16588</v>
      </c>
      <c r="U192" s="1">
        <v>0</v>
      </c>
      <c r="V192" s="10">
        <f>Table1[[#This Row],[Pop NW+RATAA]]*Table1[[#This Row],[Perc_pop_Northern_Aleppo]]</f>
        <v>0</v>
      </c>
      <c r="W192" s="10">
        <f>Table1[[#This Row],[Pop NW+RATAA]]*Table1[[#This Row],[Perc_pop_Afrin District]]</f>
        <v>0</v>
      </c>
      <c r="X192" s="10">
        <f>Table1[[#This Row],[Pop NW+RATAA]]*Table1[[#This Row],[Perc_pop_Euphrates Shiled]]</f>
        <v>0</v>
      </c>
      <c r="Y192" s="10">
        <f>Table1[[#This Row],[Pop NW+RATAA]]*Table1[[#This Row],[Perc_Pop_Idleb_NSAG]]</f>
        <v>0</v>
      </c>
      <c r="Z192" s="3">
        <v>0</v>
      </c>
      <c r="AA192" s="3">
        <v>0</v>
      </c>
      <c r="AB192" s="3">
        <v>0</v>
      </c>
      <c r="AC192" s="3">
        <v>0</v>
      </c>
      <c r="AD192" s="1">
        <v>10171</v>
      </c>
      <c r="AE192" s="1">
        <v>0</v>
      </c>
      <c r="AF192" s="1">
        <v>0</v>
      </c>
      <c r="AG192" s="1">
        <v>0</v>
      </c>
      <c r="AH192" s="1">
        <v>0</v>
      </c>
      <c r="AI192" s="1">
        <f>Table1[[#This Row],[NWS_pin]]*Table1[[#This Row],[Perc_pop_Northern_Aleppo]]</f>
        <v>0</v>
      </c>
      <c r="AJ192" s="1">
        <f>Table1[[#This Row],[NWS_pin]]*Table1[[#This Row],[Perc_pop_Afrin District]]</f>
        <v>0</v>
      </c>
      <c r="AK192" s="1">
        <f>Table1[[#This Row],[NWS_pin]]*Table1[[#This Row],[Perc_pop_Euphrates Shiled]]</f>
        <v>0</v>
      </c>
      <c r="AL192" s="1">
        <f>Table1[[#This Row],[NWS_pin]]*Table1[[#This Row],[Perc_Pop_Idleb_NSAG]]</f>
        <v>0</v>
      </c>
      <c r="AM192" s="4">
        <v>0.57854372736007498</v>
      </c>
      <c r="AN192" s="4">
        <v>0.42145627263992502</v>
      </c>
      <c r="AO192" s="4">
        <v>9.6780431195165703E-2</v>
      </c>
      <c r="AP192" s="4">
        <v>0.25615624452422098</v>
      </c>
      <c r="AQ192" s="4">
        <v>0.66944672900711</v>
      </c>
      <c r="AR192" s="4">
        <v>2.6331108535349399E-2</v>
      </c>
      <c r="AS192" s="4">
        <v>3.2510061785172698E-3</v>
      </c>
      <c r="AT192" s="4">
        <v>4.4814911754802199E-2</v>
      </c>
      <c r="AU192" s="4">
        <v>0.11126149774800601</v>
      </c>
      <c r="AV192" s="4">
        <v>9.2645408152176104E-2</v>
      </c>
      <c r="AW192" s="4">
        <v>0.13681627664873899</v>
      </c>
      <c r="AX192" s="4">
        <v>0.175670029114565</v>
      </c>
      <c r="AY192" s="4">
        <v>0.16796855655705401</v>
      </c>
      <c r="AZ192" s="4">
        <v>0.18624203605534201</v>
      </c>
      <c r="BA192" s="4">
        <v>9.00630555447548E-2</v>
      </c>
      <c r="BB192" s="4">
        <v>9.2857365685151502E-2</v>
      </c>
      <c r="BC192" s="4">
        <v>8.6227235059989402E-2</v>
      </c>
      <c r="BD192" s="4">
        <v>3.3946034537014599E-2</v>
      </c>
      <c r="BE192" s="4">
        <v>3.7969250367979802E-2</v>
      </c>
      <c r="BF192" s="4">
        <v>2.84232640055881E-2</v>
      </c>
      <c r="BG192" s="4">
        <v>4.5128019095394899E-2</v>
      </c>
      <c r="BH192" s="4">
        <v>5.5073117358117998E-2</v>
      </c>
      <c r="BI192" s="4">
        <v>3.1476130177386701E-2</v>
      </c>
      <c r="BJ192" s="4">
        <v>3.6718776254805699E-2</v>
      </c>
      <c r="BK192" s="4">
        <v>5.34847037278188E-2</v>
      </c>
      <c r="BL192" s="4">
        <v>1.37037618806507E-2</v>
      </c>
      <c r="BM192" s="4">
        <v>9.85742633441632E-3</v>
      </c>
      <c r="BN192" s="4">
        <v>1.33837533858442E-2</v>
      </c>
      <c r="BO192" s="4">
        <v>5.0167476480019102E-3</v>
      </c>
      <c r="BP192" s="4">
        <v>5.3741943862144703E-2</v>
      </c>
      <c r="BQ192" s="4">
        <v>8.1003490959958999E-2</v>
      </c>
      <c r="BR192" s="4">
        <v>1.6319325917040099E-2</v>
      </c>
      <c r="BS192" s="4">
        <v>0.110293046379374</v>
      </c>
      <c r="BT192" s="4">
        <v>0.140516657300787</v>
      </c>
      <c r="BU192" s="4">
        <v>6.8804328208854307E-2</v>
      </c>
      <c r="BV192" s="4">
        <v>8.9903272225778305E-2</v>
      </c>
      <c r="BW192" s="4">
        <v>6.8185184954735606E-2</v>
      </c>
      <c r="BX192" s="4">
        <v>0.119716242103333</v>
      </c>
      <c r="BY192" s="4">
        <v>6.6930533718200597E-2</v>
      </c>
      <c r="BZ192" s="4">
        <v>5.2680535100397601E-2</v>
      </c>
      <c r="CA192" s="4">
        <v>8.6491868666614596E-2</v>
      </c>
      <c r="CB192" s="4">
        <v>4.0345898278001599E-2</v>
      </c>
      <c r="CC192" s="4">
        <v>2.6071778064374902E-2</v>
      </c>
      <c r="CD192" s="4">
        <v>5.9940345553514802E-2</v>
      </c>
      <c r="CE192" s="4">
        <v>1.6630520534628299E-2</v>
      </c>
      <c r="CF192" s="4">
        <v>2.7072689820574901E-3</v>
      </c>
      <c r="CG192" s="4">
        <v>3.5743321489611901E-2</v>
      </c>
      <c r="CH192" s="4">
        <v>1.36761995787224E-2</v>
      </c>
      <c r="CI192" s="4">
        <v>1.63298288494595E-2</v>
      </c>
      <c r="CJ192" s="4">
        <v>1.00334952960038E-2</v>
      </c>
      <c r="CK192" s="4">
        <v>2.96278906498737E-2</v>
      </c>
      <c r="CL192" s="4">
        <v>2.5469807590206301E-2</v>
      </c>
      <c r="CM192" s="4">
        <v>3.5335796850781101E-2</v>
      </c>
      <c r="CN192" s="4">
        <v>2.4329226273718099E-2</v>
      </c>
      <c r="CO192" s="4">
        <v>2.9306437107872198E-2</v>
      </c>
      <c r="CP192" s="4">
        <v>1.7496882576917599E-2</v>
      </c>
      <c r="CQ192" s="4">
        <v>5.1876629870602001E-2</v>
      </c>
      <c r="CR192" s="4">
        <v>4.4346855856007103E-2</v>
      </c>
      <c r="CS192" s="4">
        <v>6.2212941861631801E-2</v>
      </c>
      <c r="CT192" s="1">
        <f>Table1[[#This Row],[Female %]]*Table1[[#This Row],[NWS_pin]]</f>
        <v>0</v>
      </c>
      <c r="CU192" s="1">
        <f>Table1[[#This Row],[Male %]]*Table1[[#This Row],[NWS_pin]]</f>
        <v>0</v>
      </c>
      <c r="CV192" s="1">
        <f>Table1[[#This Row],[Female% (0-2)22]]+Table1[[#This Row],[Male%(0-2)3]]</f>
        <v>0</v>
      </c>
      <c r="CW192" s="1">
        <f>$CT192*Table1[[#This Row],[Female% (0-2)]]</f>
        <v>0</v>
      </c>
      <c r="CX192" s="1">
        <f>$CU192*Table1[[#This Row],[Male%(0-2)]]</f>
        <v>0</v>
      </c>
      <c r="CY192" s="1">
        <f>Table1[[#This Row],[Female%  (3-5)5]]+Table1[[#This Row],[Male% (3-5)6]]</f>
        <v>0</v>
      </c>
      <c r="CZ192" s="1">
        <f>$AF192*Table1[[#This Row],[Female%  (3-5)]]</f>
        <v>0</v>
      </c>
      <c r="DA192" s="1">
        <f>$CU192*Table1[[#This Row],[Male% (3-5)]]</f>
        <v>0</v>
      </c>
      <c r="DB192" s="1">
        <f>Table1[[#This Row],[Female% (6-8)8]]+Table1[[#This Row],[Male%(6-8)9]]</f>
        <v>0</v>
      </c>
      <c r="DC192" s="1">
        <f>$CT192*Table1[[#This Row],[Female% (6-8)]]</f>
        <v>0</v>
      </c>
      <c r="DD192" s="1">
        <f>$CU192*Table1[[#This Row],[Male%(6-8)]]</f>
        <v>0</v>
      </c>
      <c r="DE192" s="1">
        <f>Table1[[#This Row],[Female% (9 - 11)11]]+Table1[[#This Row],[Male% (9 - 11)12]]</f>
        <v>0</v>
      </c>
      <c r="DF192" s="1">
        <f>$CT192*Table1[[#This Row],[Female% (9 - 11)]]</f>
        <v>0</v>
      </c>
      <c r="DG192" s="1">
        <f>$CU192*Table1[[#This Row],[Male% (9 - 11)]]</f>
        <v>0</v>
      </c>
      <c r="DH192" s="1">
        <f>Table1[[#This Row],[Female% (12-14)14]]+Table1[[#This Row],[Male%(12-14)15]]</f>
        <v>0</v>
      </c>
      <c r="DI192" s="1">
        <f>$CT192*Table1[[#This Row],[Female% (12-14)]]</f>
        <v>0</v>
      </c>
      <c r="DJ192" s="1">
        <f>$CU192*Table1[[#This Row],[Male%(12-14)]]</f>
        <v>0</v>
      </c>
      <c r="DK192" s="1">
        <f>Table1[[#This Row],[Female% (15-17)17]]+Table1[[#This Row],[Male%(15-17)18]]</f>
        <v>0</v>
      </c>
      <c r="DL192" s="1">
        <f>$CT192*Table1[[#This Row],[Female% (15-17)]]</f>
        <v>0</v>
      </c>
      <c r="DM192" s="1">
        <f>$CU192*Table1[[#This Row],[Male%(15-17)]]</f>
        <v>0</v>
      </c>
      <c r="DN192" s="1">
        <f>$AF192*Table1[[#This Row],[Total% (18-19)]]</f>
        <v>0</v>
      </c>
      <c r="DO192" s="1">
        <f>$CT192*Table1[[#This Row],[Female% (18-19)]]</f>
        <v>0</v>
      </c>
      <c r="DP192" s="1">
        <f>$CU192*Table1[[#This Row],[Male%(18-19)]]</f>
        <v>0</v>
      </c>
      <c r="DQ192" s="1">
        <f>$AF192*Table1[[#This Row],[Total% (20-24)]]</f>
        <v>0</v>
      </c>
      <c r="DR192" s="1">
        <f>$CT192*Table1[[#This Row],[Female% (20-24)]]</f>
        <v>0</v>
      </c>
      <c r="DS192" s="1">
        <f>$CU192*Table1[[#This Row],[Male% (20-24)]]</f>
        <v>0</v>
      </c>
      <c r="DT192" s="1">
        <f>$AF192*Table1[[#This Row],[Total% (25-29)]]</f>
        <v>0</v>
      </c>
      <c r="DU192" s="1">
        <f>$CT192*Table1[[#This Row],[Female% (25-29)]]</f>
        <v>0</v>
      </c>
      <c r="DV192" s="1">
        <f>$CU192*Table1[[#This Row],[Male% (25-29)]]</f>
        <v>0</v>
      </c>
      <c r="DW192" s="1">
        <f>$AF192*Table1[[#This Row],[Total%   (30-34)]]</f>
        <v>0</v>
      </c>
      <c r="DX192" s="1">
        <f>$CT192*Table1[[#This Row],[Female%   (30-34)]]</f>
        <v>0</v>
      </c>
      <c r="DY192" s="1">
        <f>$CU192*Table1[[#This Row],[Male%  (30-34)]]</f>
        <v>0</v>
      </c>
      <c r="DZ192" s="1">
        <f>$AF192*Table1[[#This Row],[Total% (35-39)]]</f>
        <v>0</v>
      </c>
      <c r="EA192" s="1">
        <f>$CT192*Table1[[#This Row],[Female% (35-39)]]</f>
        <v>0</v>
      </c>
      <c r="EB192" s="1">
        <f>$CU192*Table1[[#This Row],[Male% (35-39)]]</f>
        <v>0</v>
      </c>
      <c r="EC192" s="1">
        <f>$AF192*Table1[[#This Row],[Total% (40-44)]]</f>
        <v>0</v>
      </c>
      <c r="ED192" s="1">
        <f>$CT192*Table1[[#This Row],[Female% (40-44)]]</f>
        <v>0</v>
      </c>
      <c r="EE192" s="1">
        <f>$CU192*Table1[[#This Row],[Male%(55-59)]]</f>
        <v>0</v>
      </c>
      <c r="EF192" s="1">
        <f>$AF192*Table1[[#This Row],[Total% (45-49)]]</f>
        <v>0</v>
      </c>
      <c r="EG192" s="1">
        <f>$CT192*Table1[[#This Row],[Female% (45-49)]]</f>
        <v>0</v>
      </c>
      <c r="EH192" s="1">
        <f>$CU192*Table1[[#This Row],[Male% (45-49)]]</f>
        <v>0</v>
      </c>
      <c r="EI192" s="1">
        <f>$AF192*Table1[[#This Row],[Total% (50-54)]]</f>
        <v>0</v>
      </c>
      <c r="EJ192" s="1">
        <f>$CT192*Table1[[#This Row],[Female%(50-54)]]</f>
        <v>0</v>
      </c>
      <c r="EK192" s="1">
        <f>$CU192*Table1[[#This Row],[Male% (50-54)]]</f>
        <v>0</v>
      </c>
      <c r="EL192" s="1">
        <f>$AF192*Table1[[#This Row],[Total% (55-59)]]</f>
        <v>0</v>
      </c>
      <c r="EM192" s="1">
        <f>$CT192*Table1[[#This Row],[Female% (55-59)]]</f>
        <v>0</v>
      </c>
      <c r="EN192" s="1">
        <f>$CU192*Table1[[#This Row],[Male% (55-59)]]</f>
        <v>0</v>
      </c>
      <c r="EO192" s="1">
        <f>$AF192*Table1[[#This Row],[Total% (60-64)]]</f>
        <v>0</v>
      </c>
      <c r="EP192" s="1">
        <f>$CT192*Table1[[#This Row],[Female%(60-64)]]</f>
        <v>0</v>
      </c>
      <c r="EQ192" s="1">
        <f>$CU192*Table1[[#This Row],[Male%(60-64)]]</f>
        <v>0</v>
      </c>
      <c r="ER192" s="1">
        <f>$AF192*Table1[[#This Row],[Total% (&gt;=65)]]</f>
        <v>0</v>
      </c>
      <c r="ES192" s="1">
        <f>$CT192*Table1[[#This Row],[Female%(&gt;=65)]]</f>
        <v>0</v>
      </c>
      <c r="ET192" s="1">
        <f>$CU192*Table1[[#This Row],[Male% (&gt;=65)]]</f>
        <v>0</v>
      </c>
    </row>
    <row r="193" spans="1:150" hidden="1" x14ac:dyDescent="0.35">
      <c r="A193" t="s">
        <v>157</v>
      </c>
      <c r="B193" t="s">
        <v>158</v>
      </c>
      <c r="C193" t="s">
        <v>157</v>
      </c>
      <c r="D193" t="s">
        <v>273</v>
      </c>
      <c r="E193" t="s">
        <v>494</v>
      </c>
      <c r="F193" t="s">
        <v>495</v>
      </c>
      <c r="H193">
        <v>4</v>
      </c>
      <c r="I193" s="1">
        <v>0</v>
      </c>
      <c r="J193" s="1">
        <v>0</v>
      </c>
      <c r="K193" s="1">
        <v>4913</v>
      </c>
      <c r="L193" s="1">
        <v>80107</v>
      </c>
      <c r="M193" s="1">
        <v>0</v>
      </c>
      <c r="N193" s="1">
        <v>85020</v>
      </c>
      <c r="O193" s="3">
        <v>1</v>
      </c>
      <c r="P193" s="3">
        <v>0</v>
      </c>
      <c r="Q193" s="3">
        <v>0</v>
      </c>
      <c r="R193" s="3">
        <v>0</v>
      </c>
      <c r="S193" s="3">
        <v>0</v>
      </c>
      <c r="T193" s="1">
        <v>85020</v>
      </c>
      <c r="U193" s="1">
        <v>0</v>
      </c>
      <c r="V193" s="10">
        <f>Table1[[#This Row],[Pop NW+RATAA]]*Table1[[#This Row],[Perc_pop_Northern_Aleppo]]</f>
        <v>0</v>
      </c>
      <c r="W193" s="10">
        <f>Table1[[#This Row],[Pop NW+RATAA]]*Table1[[#This Row],[Perc_pop_Afrin District]]</f>
        <v>0</v>
      </c>
      <c r="X193" s="10">
        <f>Table1[[#This Row],[Pop NW+RATAA]]*Table1[[#This Row],[Perc_pop_Euphrates Shiled]]</f>
        <v>0</v>
      </c>
      <c r="Y193" s="10">
        <f>Table1[[#This Row],[Pop NW+RATAA]]*Table1[[#This Row],[Perc_Pop_Idleb_NSAG]]</f>
        <v>0</v>
      </c>
      <c r="Z193" s="3">
        <v>0</v>
      </c>
      <c r="AA193" s="3">
        <v>0</v>
      </c>
      <c r="AB193" s="3">
        <v>0</v>
      </c>
      <c r="AC193" s="3">
        <v>0</v>
      </c>
      <c r="AD193" s="1">
        <v>85020</v>
      </c>
      <c r="AE193" s="1">
        <v>0</v>
      </c>
      <c r="AF193" s="1">
        <v>0</v>
      </c>
      <c r="AG193" s="1">
        <v>0</v>
      </c>
      <c r="AH193" s="1">
        <v>0</v>
      </c>
      <c r="AI193" s="1">
        <f>Table1[[#This Row],[NWS_pin]]*Table1[[#This Row],[Perc_pop_Northern_Aleppo]]</f>
        <v>0</v>
      </c>
      <c r="AJ193" s="1">
        <f>Table1[[#This Row],[NWS_pin]]*Table1[[#This Row],[Perc_pop_Afrin District]]</f>
        <v>0</v>
      </c>
      <c r="AK193" s="1">
        <f>Table1[[#This Row],[NWS_pin]]*Table1[[#This Row],[Perc_pop_Euphrates Shiled]]</f>
        <v>0</v>
      </c>
      <c r="AL193" s="1">
        <f>Table1[[#This Row],[NWS_pin]]*Table1[[#This Row],[Perc_Pop_Idleb_NSAG]]</f>
        <v>0</v>
      </c>
      <c r="AM193" s="4">
        <v>0.47119928303729902</v>
      </c>
      <c r="AN193" s="4">
        <v>0.52880071696270103</v>
      </c>
      <c r="AO193" s="4">
        <v>9.0160483485180104E-2</v>
      </c>
      <c r="AP193" s="4">
        <v>0.49938010089544899</v>
      </c>
      <c r="AQ193" s="4">
        <v>0.41503710779577901</v>
      </c>
      <c r="AR193" s="4">
        <v>2.2267084269846998E-2</v>
      </c>
      <c r="AS193" s="4">
        <v>4.2804186544974599E-3</v>
      </c>
      <c r="AT193" s="4">
        <v>5.9035288384427197E-2</v>
      </c>
      <c r="AU193" s="4">
        <v>2.1106750048142001E-2</v>
      </c>
      <c r="AV193" s="4">
        <v>3.6881916718276703E-2</v>
      </c>
      <c r="AW193" s="4">
        <v>7.0499475773433502E-3</v>
      </c>
      <c r="AX193" s="4">
        <v>6.8056177287400405E-2</v>
      </c>
      <c r="AY193" s="4">
        <v>7.6014109437786304E-2</v>
      </c>
      <c r="AZ193" s="4">
        <v>6.0965090222959401E-2</v>
      </c>
      <c r="BA193" s="4">
        <v>6.3110493014488997E-2</v>
      </c>
      <c r="BB193" s="4">
        <v>5.57660263989204E-2</v>
      </c>
      <c r="BC193" s="4">
        <v>6.9654938384050402E-2</v>
      </c>
      <c r="BD193" s="4">
        <v>7.3905548580243896E-2</v>
      </c>
      <c r="BE193" s="4">
        <v>6.5154550889768501E-2</v>
      </c>
      <c r="BF193" s="4">
        <v>8.1703313797540103E-2</v>
      </c>
      <c r="BG193" s="4">
        <v>5.3753252274189901E-2</v>
      </c>
      <c r="BH193" s="4">
        <v>2.87001077868957E-2</v>
      </c>
      <c r="BI193" s="4">
        <v>7.6077396969091104E-2</v>
      </c>
      <c r="BJ193" s="4">
        <v>7.3050171932558403E-2</v>
      </c>
      <c r="BK193" s="4">
        <v>5.9963814619751199E-2</v>
      </c>
      <c r="BL193" s="4">
        <v>8.4711052838284506E-2</v>
      </c>
      <c r="BM193" s="4">
        <v>7.4543676078484694E-2</v>
      </c>
      <c r="BN193" s="4">
        <v>9.7096918827713596E-2</v>
      </c>
      <c r="BO193" s="4">
        <v>5.4447122740504998E-2</v>
      </c>
      <c r="BP193" s="4">
        <v>0.10362650608461101</v>
      </c>
      <c r="BQ193" s="4">
        <v>7.3237299567770905E-2</v>
      </c>
      <c r="BR193" s="4">
        <v>0.13070546392917401</v>
      </c>
      <c r="BS193" s="4">
        <v>0.105600046180597</v>
      </c>
      <c r="BT193" s="4">
        <v>9.6384955120578694E-2</v>
      </c>
      <c r="BU193" s="4">
        <v>0.113811351803524</v>
      </c>
      <c r="BV193" s="4">
        <v>4.9891881638181597E-2</v>
      </c>
      <c r="BW193" s="4">
        <v>7.3823796380189599E-2</v>
      </c>
      <c r="BX193" s="4">
        <v>2.8566832888409801E-2</v>
      </c>
      <c r="BY193" s="4">
        <v>9.2699173487405404E-2</v>
      </c>
      <c r="BZ193" s="4">
        <v>9.3579380166424905E-2</v>
      </c>
      <c r="CA193" s="4">
        <v>9.1914846343408907E-2</v>
      </c>
      <c r="CB193" s="4">
        <v>5.5215731867968798E-2</v>
      </c>
      <c r="CC193" s="4">
        <v>9.0172958176286802E-2</v>
      </c>
      <c r="CD193" s="4">
        <v>2.4066341473678001E-2</v>
      </c>
      <c r="CE193" s="4">
        <v>7.5363393393521397E-2</v>
      </c>
      <c r="CF193" s="4">
        <v>5.9038092289924397E-2</v>
      </c>
      <c r="CG193" s="4">
        <v>8.9910405015530104E-2</v>
      </c>
      <c r="CH193" s="4">
        <v>2.6666670275810701E-2</v>
      </c>
      <c r="CI193" s="4">
        <v>1.5802318171683202E-2</v>
      </c>
      <c r="CJ193" s="4">
        <v>3.6347585520278398E-2</v>
      </c>
      <c r="CK193" s="4">
        <v>1.10269209870093E-2</v>
      </c>
      <c r="CL193" s="4">
        <v>4.0415904689940496E-3</v>
      </c>
      <c r="CM193" s="4">
        <v>1.7251350391668301E-2</v>
      </c>
      <c r="CN193" s="4">
        <v>4.8628205346133201E-3</v>
      </c>
      <c r="CO193" s="4">
        <v>3.4483035389668102E-3</v>
      </c>
      <c r="CP193" s="4">
        <v>6.1232564092487301E-3</v>
      </c>
      <c r="CQ193" s="4">
        <v>4.7520786334773503E-2</v>
      </c>
      <c r="CR193" s="4">
        <v>7.0893861440068207E-2</v>
      </c>
      <c r="CS193" s="4">
        <v>2.66937036953061E-2</v>
      </c>
      <c r="CT193" s="1">
        <f>Table1[[#This Row],[Female %]]*Table1[[#This Row],[NWS_pin]]</f>
        <v>0</v>
      </c>
      <c r="CU193" s="1">
        <f>Table1[[#This Row],[Male %]]*Table1[[#This Row],[NWS_pin]]</f>
        <v>0</v>
      </c>
      <c r="CV193" s="1">
        <f>Table1[[#This Row],[Female% (0-2)22]]+Table1[[#This Row],[Male%(0-2)3]]</f>
        <v>0</v>
      </c>
      <c r="CW193" s="1">
        <f>$CT193*Table1[[#This Row],[Female% (0-2)]]</f>
        <v>0</v>
      </c>
      <c r="CX193" s="1">
        <f>$CU193*Table1[[#This Row],[Male%(0-2)]]</f>
        <v>0</v>
      </c>
      <c r="CY193" s="1">
        <f>Table1[[#This Row],[Female%  (3-5)5]]+Table1[[#This Row],[Male% (3-5)6]]</f>
        <v>0</v>
      </c>
      <c r="CZ193" s="1">
        <f>$AF193*Table1[[#This Row],[Female%  (3-5)]]</f>
        <v>0</v>
      </c>
      <c r="DA193" s="1">
        <f>$CU193*Table1[[#This Row],[Male% (3-5)]]</f>
        <v>0</v>
      </c>
      <c r="DB193" s="1">
        <f>Table1[[#This Row],[Female% (6-8)8]]+Table1[[#This Row],[Male%(6-8)9]]</f>
        <v>0</v>
      </c>
      <c r="DC193" s="1">
        <f>$CT193*Table1[[#This Row],[Female% (6-8)]]</f>
        <v>0</v>
      </c>
      <c r="DD193" s="1">
        <f>$CU193*Table1[[#This Row],[Male%(6-8)]]</f>
        <v>0</v>
      </c>
      <c r="DE193" s="1">
        <f>Table1[[#This Row],[Female% (9 - 11)11]]+Table1[[#This Row],[Male% (9 - 11)12]]</f>
        <v>0</v>
      </c>
      <c r="DF193" s="1">
        <f>$CT193*Table1[[#This Row],[Female% (9 - 11)]]</f>
        <v>0</v>
      </c>
      <c r="DG193" s="1">
        <f>$CU193*Table1[[#This Row],[Male% (9 - 11)]]</f>
        <v>0</v>
      </c>
      <c r="DH193" s="1">
        <f>Table1[[#This Row],[Female% (12-14)14]]+Table1[[#This Row],[Male%(12-14)15]]</f>
        <v>0</v>
      </c>
      <c r="DI193" s="1">
        <f>$CT193*Table1[[#This Row],[Female% (12-14)]]</f>
        <v>0</v>
      </c>
      <c r="DJ193" s="1">
        <f>$CU193*Table1[[#This Row],[Male%(12-14)]]</f>
        <v>0</v>
      </c>
      <c r="DK193" s="1">
        <f>Table1[[#This Row],[Female% (15-17)17]]+Table1[[#This Row],[Male%(15-17)18]]</f>
        <v>0</v>
      </c>
      <c r="DL193" s="1">
        <f>$CT193*Table1[[#This Row],[Female% (15-17)]]</f>
        <v>0</v>
      </c>
      <c r="DM193" s="1">
        <f>$CU193*Table1[[#This Row],[Male%(15-17)]]</f>
        <v>0</v>
      </c>
      <c r="DN193" s="1">
        <f>$AF193*Table1[[#This Row],[Total% (18-19)]]</f>
        <v>0</v>
      </c>
      <c r="DO193" s="1">
        <f>$CT193*Table1[[#This Row],[Female% (18-19)]]</f>
        <v>0</v>
      </c>
      <c r="DP193" s="1">
        <f>$CU193*Table1[[#This Row],[Male%(18-19)]]</f>
        <v>0</v>
      </c>
      <c r="DQ193" s="1">
        <f>$AF193*Table1[[#This Row],[Total% (20-24)]]</f>
        <v>0</v>
      </c>
      <c r="DR193" s="1">
        <f>$CT193*Table1[[#This Row],[Female% (20-24)]]</f>
        <v>0</v>
      </c>
      <c r="DS193" s="1">
        <f>$CU193*Table1[[#This Row],[Male% (20-24)]]</f>
        <v>0</v>
      </c>
      <c r="DT193" s="1">
        <f>$AF193*Table1[[#This Row],[Total% (25-29)]]</f>
        <v>0</v>
      </c>
      <c r="DU193" s="1">
        <f>$CT193*Table1[[#This Row],[Female% (25-29)]]</f>
        <v>0</v>
      </c>
      <c r="DV193" s="1">
        <f>$CU193*Table1[[#This Row],[Male% (25-29)]]</f>
        <v>0</v>
      </c>
      <c r="DW193" s="1">
        <f>$AF193*Table1[[#This Row],[Total%   (30-34)]]</f>
        <v>0</v>
      </c>
      <c r="DX193" s="1">
        <f>$CT193*Table1[[#This Row],[Female%   (30-34)]]</f>
        <v>0</v>
      </c>
      <c r="DY193" s="1">
        <f>$CU193*Table1[[#This Row],[Male%  (30-34)]]</f>
        <v>0</v>
      </c>
      <c r="DZ193" s="1">
        <f>$AF193*Table1[[#This Row],[Total% (35-39)]]</f>
        <v>0</v>
      </c>
      <c r="EA193" s="1">
        <f>$CT193*Table1[[#This Row],[Female% (35-39)]]</f>
        <v>0</v>
      </c>
      <c r="EB193" s="1">
        <f>$CU193*Table1[[#This Row],[Male% (35-39)]]</f>
        <v>0</v>
      </c>
      <c r="EC193" s="1">
        <f>$AF193*Table1[[#This Row],[Total% (40-44)]]</f>
        <v>0</v>
      </c>
      <c r="ED193" s="1">
        <f>$CT193*Table1[[#This Row],[Female% (40-44)]]</f>
        <v>0</v>
      </c>
      <c r="EE193" s="1">
        <f>$CU193*Table1[[#This Row],[Male%(55-59)]]</f>
        <v>0</v>
      </c>
      <c r="EF193" s="1">
        <f>$AF193*Table1[[#This Row],[Total% (45-49)]]</f>
        <v>0</v>
      </c>
      <c r="EG193" s="1">
        <f>$CT193*Table1[[#This Row],[Female% (45-49)]]</f>
        <v>0</v>
      </c>
      <c r="EH193" s="1">
        <f>$CU193*Table1[[#This Row],[Male% (45-49)]]</f>
        <v>0</v>
      </c>
      <c r="EI193" s="1">
        <f>$AF193*Table1[[#This Row],[Total% (50-54)]]</f>
        <v>0</v>
      </c>
      <c r="EJ193" s="1">
        <f>$CT193*Table1[[#This Row],[Female%(50-54)]]</f>
        <v>0</v>
      </c>
      <c r="EK193" s="1">
        <f>$CU193*Table1[[#This Row],[Male% (50-54)]]</f>
        <v>0</v>
      </c>
      <c r="EL193" s="1">
        <f>$AF193*Table1[[#This Row],[Total% (55-59)]]</f>
        <v>0</v>
      </c>
      <c r="EM193" s="1">
        <f>$CT193*Table1[[#This Row],[Female% (55-59)]]</f>
        <v>0</v>
      </c>
      <c r="EN193" s="1">
        <f>$CU193*Table1[[#This Row],[Male% (55-59)]]</f>
        <v>0</v>
      </c>
      <c r="EO193" s="1">
        <f>$AF193*Table1[[#This Row],[Total% (60-64)]]</f>
        <v>0</v>
      </c>
      <c r="EP193" s="1">
        <f>$CT193*Table1[[#This Row],[Female%(60-64)]]</f>
        <v>0</v>
      </c>
      <c r="EQ193" s="1">
        <f>$CU193*Table1[[#This Row],[Male%(60-64)]]</f>
        <v>0</v>
      </c>
      <c r="ER193" s="1">
        <f>$AF193*Table1[[#This Row],[Total% (&gt;=65)]]</f>
        <v>0</v>
      </c>
      <c r="ES193" s="1">
        <f>$CT193*Table1[[#This Row],[Female%(&gt;=65)]]</f>
        <v>0</v>
      </c>
      <c r="ET193" s="1">
        <f>$CU193*Table1[[#This Row],[Male% (&gt;=65)]]</f>
        <v>0</v>
      </c>
    </row>
    <row r="194" spans="1:150" hidden="1" x14ac:dyDescent="0.35">
      <c r="A194" t="s">
        <v>157</v>
      </c>
      <c r="B194" t="s">
        <v>158</v>
      </c>
      <c r="C194" t="s">
        <v>157</v>
      </c>
      <c r="D194" t="s">
        <v>273</v>
      </c>
      <c r="E194" t="s">
        <v>476</v>
      </c>
      <c r="F194" t="s">
        <v>477</v>
      </c>
      <c r="H194">
        <v>4</v>
      </c>
      <c r="I194" s="1">
        <v>0</v>
      </c>
      <c r="J194" s="1">
        <v>0</v>
      </c>
      <c r="K194" s="1">
        <v>17755</v>
      </c>
      <c r="L194" s="1">
        <v>12673</v>
      </c>
      <c r="M194" s="1">
        <v>0</v>
      </c>
      <c r="N194" s="1">
        <v>30428</v>
      </c>
      <c r="O194" s="3">
        <v>0.47</v>
      </c>
      <c r="P194" s="3">
        <v>0.53</v>
      </c>
      <c r="Q194" s="3">
        <v>0</v>
      </c>
      <c r="R194" s="3">
        <v>0</v>
      </c>
      <c r="S194" s="3">
        <v>0</v>
      </c>
      <c r="T194" s="1">
        <v>30428</v>
      </c>
      <c r="U194" s="1">
        <v>0</v>
      </c>
      <c r="V194" s="10">
        <f>Table1[[#This Row],[Pop NW+RATAA]]*Table1[[#This Row],[Perc_pop_Northern_Aleppo]]</f>
        <v>0</v>
      </c>
      <c r="W194" s="10">
        <f>Table1[[#This Row],[Pop NW+RATAA]]*Table1[[#This Row],[Perc_pop_Afrin District]]</f>
        <v>0</v>
      </c>
      <c r="X194" s="10">
        <f>Table1[[#This Row],[Pop NW+RATAA]]*Table1[[#This Row],[Perc_pop_Euphrates Shiled]]</f>
        <v>0</v>
      </c>
      <c r="Y194" s="10">
        <f>Table1[[#This Row],[Pop NW+RATAA]]*Table1[[#This Row],[Perc_Pop_Idleb_NSAG]]</f>
        <v>0</v>
      </c>
      <c r="Z194" s="3">
        <v>0</v>
      </c>
      <c r="AA194" s="3">
        <v>0</v>
      </c>
      <c r="AB194" s="3">
        <v>0</v>
      </c>
      <c r="AC194" s="3">
        <v>0</v>
      </c>
      <c r="AD194" s="1">
        <v>14301.16</v>
      </c>
      <c r="AE194" s="1">
        <v>16126.84</v>
      </c>
      <c r="AF194" s="1">
        <v>0</v>
      </c>
      <c r="AG194" s="1">
        <v>0</v>
      </c>
      <c r="AH194" s="1">
        <v>0</v>
      </c>
      <c r="AI194" s="1">
        <f>Table1[[#This Row],[NWS_pin]]*Table1[[#This Row],[Perc_pop_Northern_Aleppo]]</f>
        <v>0</v>
      </c>
      <c r="AJ194" s="1">
        <f>Table1[[#This Row],[NWS_pin]]*Table1[[#This Row],[Perc_pop_Afrin District]]</f>
        <v>0</v>
      </c>
      <c r="AK194" s="1">
        <f>Table1[[#This Row],[NWS_pin]]*Table1[[#This Row],[Perc_pop_Euphrates Shiled]]</f>
        <v>0</v>
      </c>
      <c r="AL194" s="1">
        <f>Table1[[#This Row],[NWS_pin]]*Table1[[#This Row],[Perc_Pop_Idleb_NSAG]]</f>
        <v>0</v>
      </c>
      <c r="AM194" s="4">
        <v>0.49409914033301</v>
      </c>
      <c r="AN194" s="4">
        <v>0.50590085966699005</v>
      </c>
      <c r="AO194" s="4">
        <v>0.149156854032437</v>
      </c>
      <c r="AP194" s="4">
        <v>0.52926799361941501</v>
      </c>
      <c r="AQ194" s="4">
        <v>0.43695871220708998</v>
      </c>
      <c r="AR194" s="4">
        <v>8.9376486271787303E-3</v>
      </c>
      <c r="AS194" s="4">
        <v>0</v>
      </c>
      <c r="AT194" s="4">
        <v>2.4835645546316398E-2</v>
      </c>
      <c r="AU194" s="4">
        <v>6.9315052817664799E-2</v>
      </c>
      <c r="AV194" s="4">
        <v>3.62117463348531E-2</v>
      </c>
      <c r="AW194" s="4">
        <v>0.101646121173832</v>
      </c>
      <c r="AX194" s="4">
        <v>0.13023448504923399</v>
      </c>
      <c r="AY194" s="4">
        <v>0.12999189799949301</v>
      </c>
      <c r="AZ194" s="4">
        <v>0.130471412997551</v>
      </c>
      <c r="BA194" s="4">
        <v>0.13374865105269099</v>
      </c>
      <c r="BB194" s="4">
        <v>0.111423471182565</v>
      </c>
      <c r="BC194" s="4">
        <v>0.155553026298999</v>
      </c>
      <c r="BD194" s="4">
        <v>0.12541763853909799</v>
      </c>
      <c r="BE194" s="4">
        <v>0.105084865537057</v>
      </c>
      <c r="BF194" s="4">
        <v>0.14527608603710701</v>
      </c>
      <c r="BG194" s="4">
        <v>7.7782036358152007E-2</v>
      </c>
      <c r="BH194" s="4">
        <v>6.8601581356111094E-2</v>
      </c>
      <c r="BI194" s="4">
        <v>8.6748328543067896E-2</v>
      </c>
      <c r="BJ194" s="4">
        <v>5.8991913400694602E-2</v>
      </c>
      <c r="BK194" s="4">
        <v>6.7540807451235696E-2</v>
      </c>
      <c r="BL194" s="4">
        <v>5.0642449033405597E-2</v>
      </c>
      <c r="BM194" s="4">
        <v>2.4450719452055601E-2</v>
      </c>
      <c r="BN194" s="4">
        <v>3.2691012518437902E-2</v>
      </c>
      <c r="BO194" s="4">
        <v>1.64026569860782E-2</v>
      </c>
      <c r="BP194" s="4">
        <v>3.5701108501654297E-2</v>
      </c>
      <c r="BQ194" s="4">
        <v>5.93654319189433E-2</v>
      </c>
      <c r="BR194" s="4">
        <v>1.2588829418473E-2</v>
      </c>
      <c r="BS194" s="4">
        <v>3.7738980901403603E-2</v>
      </c>
      <c r="BT194" s="4">
        <v>5.91842198761236E-2</v>
      </c>
      <c r="BU194" s="4">
        <v>1.6794019177835798E-2</v>
      </c>
      <c r="BV194" s="4">
        <v>5.6378917618214598E-2</v>
      </c>
      <c r="BW194" s="4">
        <v>7.8296677098136605E-2</v>
      </c>
      <c r="BX194" s="4">
        <v>3.4972458407641897E-2</v>
      </c>
      <c r="BY194" s="4">
        <v>7.7587985835731704E-2</v>
      </c>
      <c r="BZ194" s="4">
        <v>9.3415448873258297E-2</v>
      </c>
      <c r="CA194" s="4">
        <v>6.2129747860721903E-2</v>
      </c>
      <c r="CB194" s="4">
        <v>5.2638712039140001E-2</v>
      </c>
      <c r="CC194" s="4">
        <v>4.76050113055747E-2</v>
      </c>
      <c r="CD194" s="4">
        <v>5.7554985964401603E-2</v>
      </c>
      <c r="CE194" s="4">
        <v>3.1032507478310101E-2</v>
      </c>
      <c r="CF194" s="4">
        <v>1.5645136503324799E-2</v>
      </c>
      <c r="CG194" s="4">
        <v>4.60609199141577E-2</v>
      </c>
      <c r="CH194" s="4">
        <v>2.55882429029167E-2</v>
      </c>
      <c r="CI194" s="4">
        <v>2.9566666359859599E-2</v>
      </c>
      <c r="CJ194" s="4">
        <v>2.1702628612302301E-2</v>
      </c>
      <c r="CK194" s="4">
        <v>1.8052276968930601E-2</v>
      </c>
      <c r="CL194" s="4">
        <v>1.56102536945155E-2</v>
      </c>
      <c r="CM194" s="4">
        <v>2.0437332415082402E-2</v>
      </c>
      <c r="CN194" s="4">
        <v>1.95393150540767E-2</v>
      </c>
      <c r="CO194" s="4">
        <v>2.3700413671351599E-2</v>
      </c>
      <c r="CP194" s="4">
        <v>1.5475287072408901E-2</v>
      </c>
      <c r="CQ194" s="4">
        <v>2.58014560300318E-2</v>
      </c>
      <c r="CR194" s="4">
        <v>2.6065358319158499E-2</v>
      </c>
      <c r="CS194" s="4">
        <v>2.5543710086932899E-2</v>
      </c>
      <c r="CT194" s="1">
        <f>Table1[[#This Row],[Female %]]*Table1[[#This Row],[NWS_pin]]</f>
        <v>0</v>
      </c>
      <c r="CU194" s="1">
        <f>Table1[[#This Row],[Male %]]*Table1[[#This Row],[NWS_pin]]</f>
        <v>0</v>
      </c>
      <c r="CV194" s="1">
        <f>Table1[[#This Row],[Female% (0-2)22]]+Table1[[#This Row],[Male%(0-2)3]]</f>
        <v>0</v>
      </c>
      <c r="CW194" s="1">
        <f>$CT194*Table1[[#This Row],[Female% (0-2)]]</f>
        <v>0</v>
      </c>
      <c r="CX194" s="1">
        <f>$CU194*Table1[[#This Row],[Male%(0-2)]]</f>
        <v>0</v>
      </c>
      <c r="CY194" s="1">
        <f>Table1[[#This Row],[Female%  (3-5)5]]+Table1[[#This Row],[Male% (3-5)6]]</f>
        <v>0</v>
      </c>
      <c r="CZ194" s="1">
        <f>$AF194*Table1[[#This Row],[Female%  (3-5)]]</f>
        <v>0</v>
      </c>
      <c r="DA194" s="1">
        <f>$CU194*Table1[[#This Row],[Male% (3-5)]]</f>
        <v>0</v>
      </c>
      <c r="DB194" s="1">
        <f>Table1[[#This Row],[Female% (6-8)8]]+Table1[[#This Row],[Male%(6-8)9]]</f>
        <v>0</v>
      </c>
      <c r="DC194" s="1">
        <f>$CT194*Table1[[#This Row],[Female% (6-8)]]</f>
        <v>0</v>
      </c>
      <c r="DD194" s="1">
        <f>$CU194*Table1[[#This Row],[Male%(6-8)]]</f>
        <v>0</v>
      </c>
      <c r="DE194" s="1">
        <f>Table1[[#This Row],[Female% (9 - 11)11]]+Table1[[#This Row],[Male% (9 - 11)12]]</f>
        <v>0</v>
      </c>
      <c r="DF194" s="1">
        <f>$CT194*Table1[[#This Row],[Female% (9 - 11)]]</f>
        <v>0</v>
      </c>
      <c r="DG194" s="1">
        <f>$CU194*Table1[[#This Row],[Male% (9 - 11)]]</f>
        <v>0</v>
      </c>
      <c r="DH194" s="1">
        <f>Table1[[#This Row],[Female% (12-14)14]]+Table1[[#This Row],[Male%(12-14)15]]</f>
        <v>0</v>
      </c>
      <c r="DI194" s="1">
        <f>$CT194*Table1[[#This Row],[Female% (12-14)]]</f>
        <v>0</v>
      </c>
      <c r="DJ194" s="1">
        <f>$CU194*Table1[[#This Row],[Male%(12-14)]]</f>
        <v>0</v>
      </c>
      <c r="DK194" s="1">
        <f>Table1[[#This Row],[Female% (15-17)17]]+Table1[[#This Row],[Male%(15-17)18]]</f>
        <v>0</v>
      </c>
      <c r="DL194" s="1">
        <f>$CT194*Table1[[#This Row],[Female% (15-17)]]</f>
        <v>0</v>
      </c>
      <c r="DM194" s="1">
        <f>$CU194*Table1[[#This Row],[Male%(15-17)]]</f>
        <v>0</v>
      </c>
      <c r="DN194" s="1">
        <f>$AF194*Table1[[#This Row],[Total% (18-19)]]</f>
        <v>0</v>
      </c>
      <c r="DO194" s="1">
        <f>$CT194*Table1[[#This Row],[Female% (18-19)]]</f>
        <v>0</v>
      </c>
      <c r="DP194" s="1">
        <f>$CU194*Table1[[#This Row],[Male%(18-19)]]</f>
        <v>0</v>
      </c>
      <c r="DQ194" s="1">
        <f>$AF194*Table1[[#This Row],[Total% (20-24)]]</f>
        <v>0</v>
      </c>
      <c r="DR194" s="1">
        <f>$CT194*Table1[[#This Row],[Female% (20-24)]]</f>
        <v>0</v>
      </c>
      <c r="DS194" s="1">
        <f>$CU194*Table1[[#This Row],[Male% (20-24)]]</f>
        <v>0</v>
      </c>
      <c r="DT194" s="1">
        <f>$AF194*Table1[[#This Row],[Total% (25-29)]]</f>
        <v>0</v>
      </c>
      <c r="DU194" s="1">
        <f>$CT194*Table1[[#This Row],[Female% (25-29)]]</f>
        <v>0</v>
      </c>
      <c r="DV194" s="1">
        <f>$CU194*Table1[[#This Row],[Male% (25-29)]]</f>
        <v>0</v>
      </c>
      <c r="DW194" s="1">
        <f>$AF194*Table1[[#This Row],[Total%   (30-34)]]</f>
        <v>0</v>
      </c>
      <c r="DX194" s="1">
        <f>$CT194*Table1[[#This Row],[Female%   (30-34)]]</f>
        <v>0</v>
      </c>
      <c r="DY194" s="1">
        <f>$CU194*Table1[[#This Row],[Male%  (30-34)]]</f>
        <v>0</v>
      </c>
      <c r="DZ194" s="1">
        <f>$AF194*Table1[[#This Row],[Total% (35-39)]]</f>
        <v>0</v>
      </c>
      <c r="EA194" s="1">
        <f>$CT194*Table1[[#This Row],[Female% (35-39)]]</f>
        <v>0</v>
      </c>
      <c r="EB194" s="1">
        <f>$CU194*Table1[[#This Row],[Male% (35-39)]]</f>
        <v>0</v>
      </c>
      <c r="EC194" s="1">
        <f>$AF194*Table1[[#This Row],[Total% (40-44)]]</f>
        <v>0</v>
      </c>
      <c r="ED194" s="1">
        <f>$CT194*Table1[[#This Row],[Female% (40-44)]]</f>
        <v>0</v>
      </c>
      <c r="EE194" s="1">
        <f>$CU194*Table1[[#This Row],[Male%(55-59)]]</f>
        <v>0</v>
      </c>
      <c r="EF194" s="1">
        <f>$AF194*Table1[[#This Row],[Total% (45-49)]]</f>
        <v>0</v>
      </c>
      <c r="EG194" s="1">
        <f>$CT194*Table1[[#This Row],[Female% (45-49)]]</f>
        <v>0</v>
      </c>
      <c r="EH194" s="1">
        <f>$CU194*Table1[[#This Row],[Male% (45-49)]]</f>
        <v>0</v>
      </c>
      <c r="EI194" s="1">
        <f>$AF194*Table1[[#This Row],[Total% (50-54)]]</f>
        <v>0</v>
      </c>
      <c r="EJ194" s="1">
        <f>$CT194*Table1[[#This Row],[Female%(50-54)]]</f>
        <v>0</v>
      </c>
      <c r="EK194" s="1">
        <f>$CU194*Table1[[#This Row],[Male% (50-54)]]</f>
        <v>0</v>
      </c>
      <c r="EL194" s="1">
        <f>$AF194*Table1[[#This Row],[Total% (55-59)]]</f>
        <v>0</v>
      </c>
      <c r="EM194" s="1">
        <f>$CT194*Table1[[#This Row],[Female% (55-59)]]</f>
        <v>0</v>
      </c>
      <c r="EN194" s="1">
        <f>$CU194*Table1[[#This Row],[Male% (55-59)]]</f>
        <v>0</v>
      </c>
      <c r="EO194" s="1">
        <f>$AF194*Table1[[#This Row],[Total% (60-64)]]</f>
        <v>0</v>
      </c>
      <c r="EP194" s="1">
        <f>$CT194*Table1[[#This Row],[Female%(60-64)]]</f>
        <v>0</v>
      </c>
      <c r="EQ194" s="1">
        <f>$CU194*Table1[[#This Row],[Male%(60-64)]]</f>
        <v>0</v>
      </c>
      <c r="ER194" s="1">
        <f>$AF194*Table1[[#This Row],[Total% (&gt;=65)]]</f>
        <v>0</v>
      </c>
      <c r="ES194" s="1">
        <f>$CT194*Table1[[#This Row],[Female%(&gt;=65)]]</f>
        <v>0</v>
      </c>
      <c r="ET194" s="1">
        <f>$CU194*Table1[[#This Row],[Male% (&gt;=65)]]</f>
        <v>0</v>
      </c>
    </row>
    <row r="195" spans="1:150" hidden="1" x14ac:dyDescent="0.35">
      <c r="A195" t="s">
        <v>157</v>
      </c>
      <c r="B195" t="s">
        <v>158</v>
      </c>
      <c r="C195" t="s">
        <v>157</v>
      </c>
      <c r="D195" t="s">
        <v>273</v>
      </c>
      <c r="E195" t="s">
        <v>298</v>
      </c>
      <c r="F195" t="s">
        <v>299</v>
      </c>
      <c r="H195">
        <v>4</v>
      </c>
      <c r="I195" s="1">
        <v>0</v>
      </c>
      <c r="J195" s="1">
        <v>0</v>
      </c>
      <c r="K195" s="1">
        <v>2566</v>
      </c>
      <c r="L195" s="1">
        <v>35701</v>
      </c>
      <c r="M195" s="1">
        <v>0</v>
      </c>
      <c r="N195" s="1">
        <v>38267</v>
      </c>
      <c r="O195" s="3">
        <v>0</v>
      </c>
      <c r="P195" s="3">
        <v>1</v>
      </c>
      <c r="Q195" s="3">
        <v>0</v>
      </c>
      <c r="R195" s="3">
        <v>0</v>
      </c>
      <c r="S195" s="3">
        <v>0</v>
      </c>
      <c r="T195" s="1">
        <v>38267</v>
      </c>
      <c r="U195" s="1">
        <v>0</v>
      </c>
      <c r="V195" s="10">
        <f>Table1[[#This Row],[Pop NW+RATAA]]*Table1[[#This Row],[Perc_pop_Northern_Aleppo]]</f>
        <v>0</v>
      </c>
      <c r="W195" s="10">
        <f>Table1[[#This Row],[Pop NW+RATAA]]*Table1[[#This Row],[Perc_pop_Afrin District]]</f>
        <v>0</v>
      </c>
      <c r="X195" s="10">
        <f>Table1[[#This Row],[Pop NW+RATAA]]*Table1[[#This Row],[Perc_pop_Euphrates Shiled]]</f>
        <v>0</v>
      </c>
      <c r="Y195" s="10">
        <f>Table1[[#This Row],[Pop NW+RATAA]]*Table1[[#This Row],[Perc_Pop_Idleb_NSAG]]</f>
        <v>0</v>
      </c>
      <c r="Z195" s="3">
        <v>0</v>
      </c>
      <c r="AA195" s="3">
        <v>0</v>
      </c>
      <c r="AB195" s="3">
        <v>0</v>
      </c>
      <c r="AC195" s="3">
        <v>0</v>
      </c>
      <c r="AD195" s="1">
        <v>0</v>
      </c>
      <c r="AE195" s="1">
        <v>38267</v>
      </c>
      <c r="AF195" s="1">
        <v>0</v>
      </c>
      <c r="AG195" s="1">
        <v>0</v>
      </c>
      <c r="AH195" s="1">
        <v>0</v>
      </c>
      <c r="AI195" s="1">
        <f>Table1[[#This Row],[NWS_pin]]*Table1[[#This Row],[Perc_pop_Northern_Aleppo]]</f>
        <v>0</v>
      </c>
      <c r="AJ195" s="1">
        <f>Table1[[#This Row],[NWS_pin]]*Table1[[#This Row],[Perc_pop_Afrin District]]</f>
        <v>0</v>
      </c>
      <c r="AK195" s="1">
        <f>Table1[[#This Row],[NWS_pin]]*Table1[[#This Row],[Perc_pop_Euphrates Shiled]]</f>
        <v>0</v>
      </c>
      <c r="AL195" s="1">
        <f>Table1[[#This Row],[NWS_pin]]*Table1[[#This Row],[Perc_Pop_Idleb_NSAG]]</f>
        <v>0</v>
      </c>
      <c r="AM195" s="4">
        <v>0.49547808596300502</v>
      </c>
      <c r="AN195" s="4">
        <v>0.50452191403699498</v>
      </c>
      <c r="AO195" s="4">
        <v>0.162335814269949</v>
      </c>
      <c r="AP195" s="4">
        <v>0.49276167181316699</v>
      </c>
      <c r="AQ195" s="4">
        <v>0.44415143894290099</v>
      </c>
      <c r="AR195" s="4">
        <v>1.11062096399919E-2</v>
      </c>
      <c r="AS195" s="4">
        <v>1.17317003202758E-2</v>
      </c>
      <c r="AT195" s="4">
        <v>4.02489792836642E-2</v>
      </c>
      <c r="AU195" s="4">
        <v>0.119950274290946</v>
      </c>
      <c r="AV195" s="4">
        <v>9.5667691066631505E-2</v>
      </c>
      <c r="AW195" s="4">
        <v>0.14379757908282201</v>
      </c>
      <c r="AX195" s="4">
        <v>0.14739846761903899</v>
      </c>
      <c r="AY195" s="4">
        <v>0.14348743208359299</v>
      </c>
      <c r="AZ195" s="4">
        <v>0.15123939572804901</v>
      </c>
      <c r="BA195" s="4">
        <v>0.12594942696711101</v>
      </c>
      <c r="BB195" s="4">
        <v>0.111444440464166</v>
      </c>
      <c r="BC195" s="4">
        <v>0.14019440374500999</v>
      </c>
      <c r="BD195" s="4">
        <v>8.6305450236926304E-2</v>
      </c>
      <c r="BE195" s="4">
        <v>7.4555773648005003E-2</v>
      </c>
      <c r="BF195" s="4">
        <v>9.7844507520642596E-2</v>
      </c>
      <c r="BG195" s="4">
        <v>5.9790263179256703E-2</v>
      </c>
      <c r="BH195" s="4">
        <v>4.3252911058425401E-2</v>
      </c>
      <c r="BI195" s="4">
        <v>7.6031174322563094E-2</v>
      </c>
      <c r="BJ195" s="4">
        <v>5.5239654625865102E-2</v>
      </c>
      <c r="BK195" s="4">
        <v>5.5275083134335698E-2</v>
      </c>
      <c r="BL195" s="4">
        <v>5.52048611925628E-2</v>
      </c>
      <c r="BM195" s="4">
        <v>3.1800603915197199E-2</v>
      </c>
      <c r="BN195" s="4">
        <v>4.7955199807314997E-2</v>
      </c>
      <c r="BO195" s="4">
        <v>1.5935587888270999E-2</v>
      </c>
      <c r="BP195" s="4">
        <v>6.1277829080667902E-2</v>
      </c>
      <c r="BQ195" s="4">
        <v>8.5664006461861994E-2</v>
      </c>
      <c r="BR195" s="4">
        <v>3.7328787113181897E-2</v>
      </c>
      <c r="BS195" s="4">
        <v>6.8543273126039195E-2</v>
      </c>
      <c r="BT195" s="4">
        <v>9.4933715654959297E-2</v>
      </c>
      <c r="BU195" s="4">
        <v>4.26258935471866E-2</v>
      </c>
      <c r="BV195" s="4">
        <v>5.6414229568223902E-2</v>
      </c>
      <c r="BW195" s="4">
        <v>6.6162230710053005E-2</v>
      </c>
      <c r="BX195" s="4">
        <v>4.6840966617024297E-2</v>
      </c>
      <c r="BY195" s="4">
        <v>4.18335192450228E-2</v>
      </c>
      <c r="BZ195" s="4">
        <v>2.9973569164106199E-2</v>
      </c>
      <c r="CA195" s="4">
        <v>5.3480873308772103E-2</v>
      </c>
      <c r="CB195" s="4">
        <v>2.73327797911673E-2</v>
      </c>
      <c r="CC195" s="4">
        <v>1.6192906655898499E-2</v>
      </c>
      <c r="CD195" s="4">
        <v>3.8272964677822097E-2</v>
      </c>
      <c r="CE195" s="4">
        <v>1.87521275841659E-2</v>
      </c>
      <c r="CF195" s="4">
        <v>2.8631431384120099E-2</v>
      </c>
      <c r="CG195" s="4">
        <v>9.0499156459755703E-3</v>
      </c>
      <c r="CH195" s="4">
        <v>2.4391242671151201E-2</v>
      </c>
      <c r="CI195" s="4">
        <v>3.1978930810158998E-2</v>
      </c>
      <c r="CJ195" s="4">
        <v>1.6939567944245001E-2</v>
      </c>
      <c r="CK195" s="4">
        <v>3.7691484643411398E-2</v>
      </c>
      <c r="CL195" s="4">
        <v>3.6117218805013999E-2</v>
      </c>
      <c r="CM195" s="4">
        <v>3.9237530915543897E-2</v>
      </c>
      <c r="CN195" s="4">
        <v>2.17643666482841E-2</v>
      </c>
      <c r="CO195" s="4">
        <v>2.2777205799059199E-2</v>
      </c>
      <c r="CP195" s="4">
        <v>2.0769683186868199E-2</v>
      </c>
      <c r="CQ195" s="4">
        <v>1.55650068075251E-2</v>
      </c>
      <c r="CR195" s="4">
        <v>1.5930253292297799E-2</v>
      </c>
      <c r="CS195" s="4">
        <v>1.52063075634589E-2</v>
      </c>
      <c r="CT195" s="1">
        <f>Table1[[#This Row],[Female %]]*Table1[[#This Row],[NWS_pin]]</f>
        <v>0</v>
      </c>
      <c r="CU195" s="1">
        <f>Table1[[#This Row],[Male %]]*Table1[[#This Row],[NWS_pin]]</f>
        <v>0</v>
      </c>
      <c r="CV195" s="1">
        <f>Table1[[#This Row],[Female% (0-2)22]]+Table1[[#This Row],[Male%(0-2)3]]</f>
        <v>0</v>
      </c>
      <c r="CW195" s="1">
        <f>$CT195*Table1[[#This Row],[Female% (0-2)]]</f>
        <v>0</v>
      </c>
      <c r="CX195" s="1">
        <f>$CU195*Table1[[#This Row],[Male%(0-2)]]</f>
        <v>0</v>
      </c>
      <c r="CY195" s="1">
        <f>Table1[[#This Row],[Female%  (3-5)5]]+Table1[[#This Row],[Male% (3-5)6]]</f>
        <v>0</v>
      </c>
      <c r="CZ195" s="1">
        <f>$AF195*Table1[[#This Row],[Female%  (3-5)]]</f>
        <v>0</v>
      </c>
      <c r="DA195" s="1">
        <f>$CU195*Table1[[#This Row],[Male% (3-5)]]</f>
        <v>0</v>
      </c>
      <c r="DB195" s="1">
        <f>Table1[[#This Row],[Female% (6-8)8]]+Table1[[#This Row],[Male%(6-8)9]]</f>
        <v>0</v>
      </c>
      <c r="DC195" s="1">
        <f>$CT195*Table1[[#This Row],[Female% (6-8)]]</f>
        <v>0</v>
      </c>
      <c r="DD195" s="1">
        <f>$CU195*Table1[[#This Row],[Male%(6-8)]]</f>
        <v>0</v>
      </c>
      <c r="DE195" s="1">
        <f>Table1[[#This Row],[Female% (9 - 11)11]]+Table1[[#This Row],[Male% (9 - 11)12]]</f>
        <v>0</v>
      </c>
      <c r="DF195" s="1">
        <f>$CT195*Table1[[#This Row],[Female% (9 - 11)]]</f>
        <v>0</v>
      </c>
      <c r="DG195" s="1">
        <f>$CU195*Table1[[#This Row],[Male% (9 - 11)]]</f>
        <v>0</v>
      </c>
      <c r="DH195" s="1">
        <f>Table1[[#This Row],[Female% (12-14)14]]+Table1[[#This Row],[Male%(12-14)15]]</f>
        <v>0</v>
      </c>
      <c r="DI195" s="1">
        <f>$CT195*Table1[[#This Row],[Female% (12-14)]]</f>
        <v>0</v>
      </c>
      <c r="DJ195" s="1">
        <f>$CU195*Table1[[#This Row],[Male%(12-14)]]</f>
        <v>0</v>
      </c>
      <c r="DK195" s="1">
        <f>Table1[[#This Row],[Female% (15-17)17]]+Table1[[#This Row],[Male%(15-17)18]]</f>
        <v>0</v>
      </c>
      <c r="DL195" s="1">
        <f>$CT195*Table1[[#This Row],[Female% (15-17)]]</f>
        <v>0</v>
      </c>
      <c r="DM195" s="1">
        <f>$CU195*Table1[[#This Row],[Male%(15-17)]]</f>
        <v>0</v>
      </c>
      <c r="DN195" s="1">
        <f>$AF195*Table1[[#This Row],[Total% (18-19)]]</f>
        <v>0</v>
      </c>
      <c r="DO195" s="1">
        <f>$CT195*Table1[[#This Row],[Female% (18-19)]]</f>
        <v>0</v>
      </c>
      <c r="DP195" s="1">
        <f>$CU195*Table1[[#This Row],[Male%(18-19)]]</f>
        <v>0</v>
      </c>
      <c r="DQ195" s="1">
        <f>$AF195*Table1[[#This Row],[Total% (20-24)]]</f>
        <v>0</v>
      </c>
      <c r="DR195" s="1">
        <f>$CT195*Table1[[#This Row],[Female% (20-24)]]</f>
        <v>0</v>
      </c>
      <c r="DS195" s="1">
        <f>$CU195*Table1[[#This Row],[Male% (20-24)]]</f>
        <v>0</v>
      </c>
      <c r="DT195" s="1">
        <f>$AF195*Table1[[#This Row],[Total% (25-29)]]</f>
        <v>0</v>
      </c>
      <c r="DU195" s="1">
        <f>$CT195*Table1[[#This Row],[Female% (25-29)]]</f>
        <v>0</v>
      </c>
      <c r="DV195" s="1">
        <f>$CU195*Table1[[#This Row],[Male% (25-29)]]</f>
        <v>0</v>
      </c>
      <c r="DW195" s="1">
        <f>$AF195*Table1[[#This Row],[Total%   (30-34)]]</f>
        <v>0</v>
      </c>
      <c r="DX195" s="1">
        <f>$CT195*Table1[[#This Row],[Female%   (30-34)]]</f>
        <v>0</v>
      </c>
      <c r="DY195" s="1">
        <f>$CU195*Table1[[#This Row],[Male%  (30-34)]]</f>
        <v>0</v>
      </c>
      <c r="DZ195" s="1">
        <f>$AF195*Table1[[#This Row],[Total% (35-39)]]</f>
        <v>0</v>
      </c>
      <c r="EA195" s="1">
        <f>$CT195*Table1[[#This Row],[Female% (35-39)]]</f>
        <v>0</v>
      </c>
      <c r="EB195" s="1">
        <f>$CU195*Table1[[#This Row],[Male% (35-39)]]</f>
        <v>0</v>
      </c>
      <c r="EC195" s="1">
        <f>$AF195*Table1[[#This Row],[Total% (40-44)]]</f>
        <v>0</v>
      </c>
      <c r="ED195" s="1">
        <f>$CT195*Table1[[#This Row],[Female% (40-44)]]</f>
        <v>0</v>
      </c>
      <c r="EE195" s="1">
        <f>$CU195*Table1[[#This Row],[Male%(55-59)]]</f>
        <v>0</v>
      </c>
      <c r="EF195" s="1">
        <f>$AF195*Table1[[#This Row],[Total% (45-49)]]</f>
        <v>0</v>
      </c>
      <c r="EG195" s="1">
        <f>$CT195*Table1[[#This Row],[Female% (45-49)]]</f>
        <v>0</v>
      </c>
      <c r="EH195" s="1">
        <f>$CU195*Table1[[#This Row],[Male% (45-49)]]</f>
        <v>0</v>
      </c>
      <c r="EI195" s="1">
        <f>$AF195*Table1[[#This Row],[Total% (50-54)]]</f>
        <v>0</v>
      </c>
      <c r="EJ195" s="1">
        <f>$CT195*Table1[[#This Row],[Female%(50-54)]]</f>
        <v>0</v>
      </c>
      <c r="EK195" s="1">
        <f>$CU195*Table1[[#This Row],[Male% (50-54)]]</f>
        <v>0</v>
      </c>
      <c r="EL195" s="1">
        <f>$AF195*Table1[[#This Row],[Total% (55-59)]]</f>
        <v>0</v>
      </c>
      <c r="EM195" s="1">
        <f>$CT195*Table1[[#This Row],[Female% (55-59)]]</f>
        <v>0</v>
      </c>
      <c r="EN195" s="1">
        <f>$CU195*Table1[[#This Row],[Male% (55-59)]]</f>
        <v>0</v>
      </c>
      <c r="EO195" s="1">
        <f>$AF195*Table1[[#This Row],[Total% (60-64)]]</f>
        <v>0</v>
      </c>
      <c r="EP195" s="1">
        <f>$CT195*Table1[[#This Row],[Female%(60-64)]]</f>
        <v>0</v>
      </c>
      <c r="EQ195" s="1">
        <f>$CU195*Table1[[#This Row],[Male%(60-64)]]</f>
        <v>0</v>
      </c>
      <c r="ER195" s="1">
        <f>$AF195*Table1[[#This Row],[Total% (&gt;=65)]]</f>
        <v>0</v>
      </c>
      <c r="ES195" s="1">
        <f>$CT195*Table1[[#This Row],[Female%(&gt;=65)]]</f>
        <v>0</v>
      </c>
      <c r="ET195" s="1">
        <f>$CU195*Table1[[#This Row],[Male% (&gt;=65)]]</f>
        <v>0</v>
      </c>
    </row>
    <row r="196" spans="1:150" hidden="1" x14ac:dyDescent="0.35">
      <c r="A196" t="s">
        <v>157</v>
      </c>
      <c r="B196" t="s">
        <v>158</v>
      </c>
      <c r="C196" t="s">
        <v>250</v>
      </c>
      <c r="D196" t="s">
        <v>251</v>
      </c>
      <c r="E196" t="s">
        <v>250</v>
      </c>
      <c r="F196" t="s">
        <v>279</v>
      </c>
      <c r="H196">
        <v>3</v>
      </c>
      <c r="I196" s="1">
        <v>0</v>
      </c>
      <c r="J196" s="1">
        <v>0</v>
      </c>
      <c r="K196" s="1">
        <v>51509</v>
      </c>
      <c r="L196" s="1">
        <v>8013</v>
      </c>
      <c r="M196" s="1">
        <v>0</v>
      </c>
      <c r="N196" s="1">
        <v>59522</v>
      </c>
      <c r="O196" s="3">
        <v>1</v>
      </c>
      <c r="P196" s="3">
        <v>0</v>
      </c>
      <c r="Q196" s="3">
        <v>0</v>
      </c>
      <c r="R196" s="3">
        <v>0</v>
      </c>
      <c r="S196" s="3">
        <v>0</v>
      </c>
      <c r="T196" s="1">
        <v>59522</v>
      </c>
      <c r="U196" s="1">
        <v>0</v>
      </c>
      <c r="V196" s="10">
        <f>Table1[[#This Row],[Pop NW+RATAA]]*Table1[[#This Row],[Perc_pop_Northern_Aleppo]]</f>
        <v>0</v>
      </c>
      <c r="W196" s="10">
        <f>Table1[[#This Row],[Pop NW+RATAA]]*Table1[[#This Row],[Perc_pop_Afrin District]]</f>
        <v>0</v>
      </c>
      <c r="X196" s="10">
        <f>Table1[[#This Row],[Pop NW+RATAA]]*Table1[[#This Row],[Perc_pop_Euphrates Shiled]]</f>
        <v>0</v>
      </c>
      <c r="Y196" s="10">
        <f>Table1[[#This Row],[Pop NW+RATAA]]*Table1[[#This Row],[Perc_Pop_Idleb_NSAG]]</f>
        <v>0</v>
      </c>
      <c r="Z196" s="3">
        <v>0</v>
      </c>
      <c r="AA196" s="3">
        <v>0</v>
      </c>
      <c r="AB196" s="3">
        <v>0</v>
      </c>
      <c r="AC196" s="3">
        <v>0</v>
      </c>
      <c r="AD196" s="1">
        <v>59522</v>
      </c>
      <c r="AE196" s="1">
        <v>0</v>
      </c>
      <c r="AF196" s="1">
        <v>0</v>
      </c>
      <c r="AG196" s="1">
        <v>0</v>
      </c>
      <c r="AH196" s="1">
        <v>0</v>
      </c>
      <c r="AI196" s="1">
        <f>Table1[[#This Row],[NWS_pin]]*Table1[[#This Row],[Perc_pop_Northern_Aleppo]]</f>
        <v>0</v>
      </c>
      <c r="AJ196" s="1">
        <f>Table1[[#This Row],[NWS_pin]]*Table1[[#This Row],[Perc_pop_Afrin District]]</f>
        <v>0</v>
      </c>
      <c r="AK196" s="1">
        <f>Table1[[#This Row],[NWS_pin]]*Table1[[#This Row],[Perc_pop_Euphrates Shiled]]</f>
        <v>0</v>
      </c>
      <c r="AL196" s="1">
        <f>Table1[[#This Row],[NWS_pin]]*Table1[[#This Row],[Perc_Pop_Idleb_NSAG]]</f>
        <v>0</v>
      </c>
      <c r="AM196" s="4">
        <v>0.51411283812529096</v>
      </c>
      <c r="AN196" s="4">
        <v>0.48588716187470898</v>
      </c>
      <c r="AO196" s="4">
        <v>0.112652721505072</v>
      </c>
      <c r="AP196" s="4">
        <v>0.51296816386614597</v>
      </c>
      <c r="AQ196" s="4">
        <v>0.41726132946167699</v>
      </c>
      <c r="AR196" s="4">
        <v>2.0535852580324001E-2</v>
      </c>
      <c r="AS196" s="4">
        <v>1.249378568024E-2</v>
      </c>
      <c r="AT196" s="4">
        <v>3.67408684116136E-2</v>
      </c>
      <c r="AU196" s="4">
        <v>4.5280022860244198E-2</v>
      </c>
      <c r="AV196" s="4">
        <v>5.0435935710269102E-2</v>
      </c>
      <c r="AW196" s="4">
        <v>3.9824597822410997E-2</v>
      </c>
      <c r="AX196" s="4">
        <v>0.11100089132982199</v>
      </c>
      <c r="AY196" s="4">
        <v>0.116722558566266</v>
      </c>
      <c r="AZ196" s="4">
        <v>0.104946846661534</v>
      </c>
      <c r="BA196" s="4">
        <v>9.5440667528346096E-2</v>
      </c>
      <c r="BB196" s="4">
        <v>6.5674310397177402E-2</v>
      </c>
      <c r="BC196" s="4">
        <v>0.12693618242590199</v>
      </c>
      <c r="BD196" s="4">
        <v>7.3478150306616502E-2</v>
      </c>
      <c r="BE196" s="4">
        <v>6.3459744305322197E-2</v>
      </c>
      <c r="BF196" s="4">
        <v>8.4078535636708807E-2</v>
      </c>
      <c r="BG196" s="4">
        <v>0.101792411707081</v>
      </c>
      <c r="BH196" s="4">
        <v>0.126379993937276</v>
      </c>
      <c r="BI196" s="4">
        <v>7.5776511977951003E-2</v>
      </c>
      <c r="BJ196" s="4">
        <v>9.7810671936803803E-2</v>
      </c>
      <c r="BK196" s="4">
        <v>6.9633307760479296E-2</v>
      </c>
      <c r="BL196" s="4">
        <v>0.12762488767299901</v>
      </c>
      <c r="BM196" s="4">
        <v>3.4056195836708297E-2</v>
      </c>
      <c r="BN196" s="4">
        <v>2.2851958917276601E-2</v>
      </c>
      <c r="BO196" s="4">
        <v>4.5911298201323898E-2</v>
      </c>
      <c r="BP196" s="4">
        <v>3.7607013084027897E-2</v>
      </c>
      <c r="BQ196" s="4">
        <v>5.7641418811596602E-2</v>
      </c>
      <c r="BR196" s="4">
        <v>1.64087884818108E-2</v>
      </c>
      <c r="BS196" s="4">
        <v>9.8297413113637294E-2</v>
      </c>
      <c r="BT196" s="4">
        <v>0.105225485356973</v>
      </c>
      <c r="BU196" s="4">
        <v>9.0966882152465997E-2</v>
      </c>
      <c r="BV196" s="4">
        <v>8.2099508272555494E-2</v>
      </c>
      <c r="BW196" s="4">
        <v>8.7430948979073997E-2</v>
      </c>
      <c r="BX196" s="4">
        <v>7.6458358787663994E-2</v>
      </c>
      <c r="BY196" s="4">
        <v>7.9477115643910898E-2</v>
      </c>
      <c r="BZ196" s="4">
        <v>9.1464959609208293E-2</v>
      </c>
      <c r="CA196" s="4">
        <v>6.6792885708254798E-2</v>
      </c>
      <c r="CB196" s="4">
        <v>7.2714911015567402E-2</v>
      </c>
      <c r="CC196" s="4">
        <v>7.1255673817745294E-2</v>
      </c>
      <c r="CD196" s="4">
        <v>7.4258916776855102E-2</v>
      </c>
      <c r="CE196" s="4">
        <v>3.8042498171688303E-2</v>
      </c>
      <c r="CF196" s="4">
        <v>4.31428878164739E-2</v>
      </c>
      <c r="CG196" s="4">
        <v>3.2645821738196301E-2</v>
      </c>
      <c r="CH196" s="4">
        <v>8.6179190557576502E-3</v>
      </c>
      <c r="CI196" s="4">
        <v>9.4315986482501994E-3</v>
      </c>
      <c r="CJ196" s="4">
        <v>7.75697199346657E-3</v>
      </c>
      <c r="CK196" s="4">
        <v>7.1445899409830699E-3</v>
      </c>
      <c r="CL196" s="4">
        <v>9.3932931199915796E-3</v>
      </c>
      <c r="CM196" s="4">
        <v>4.7652573218603996E-3</v>
      </c>
      <c r="CN196" s="4">
        <v>7.6184232886250796E-3</v>
      </c>
      <c r="CO196" s="4">
        <v>4.9279621233105997E-3</v>
      </c>
      <c r="CP196" s="4">
        <v>1.0465176061900399E-2</v>
      </c>
      <c r="CQ196" s="4">
        <v>9.5215969076248696E-3</v>
      </c>
      <c r="CR196" s="4">
        <v>4.9279621233105997E-3</v>
      </c>
      <c r="CS196" s="4">
        <v>1.43820805786955E-2</v>
      </c>
      <c r="CT196" s="1">
        <f>Table1[[#This Row],[Female %]]*Table1[[#This Row],[NWS_pin]]</f>
        <v>0</v>
      </c>
      <c r="CU196" s="1">
        <f>Table1[[#This Row],[Male %]]*Table1[[#This Row],[NWS_pin]]</f>
        <v>0</v>
      </c>
      <c r="CV196" s="1">
        <f>Table1[[#This Row],[Female% (0-2)22]]+Table1[[#This Row],[Male%(0-2)3]]</f>
        <v>0</v>
      </c>
      <c r="CW196" s="1">
        <f>$CT196*Table1[[#This Row],[Female% (0-2)]]</f>
        <v>0</v>
      </c>
      <c r="CX196" s="1">
        <f>$CU196*Table1[[#This Row],[Male%(0-2)]]</f>
        <v>0</v>
      </c>
      <c r="CY196" s="1">
        <f>Table1[[#This Row],[Female%  (3-5)5]]+Table1[[#This Row],[Male% (3-5)6]]</f>
        <v>0</v>
      </c>
      <c r="CZ196" s="1">
        <f>$AF196*Table1[[#This Row],[Female%  (3-5)]]</f>
        <v>0</v>
      </c>
      <c r="DA196" s="1">
        <f>$CU196*Table1[[#This Row],[Male% (3-5)]]</f>
        <v>0</v>
      </c>
      <c r="DB196" s="1">
        <f>Table1[[#This Row],[Female% (6-8)8]]+Table1[[#This Row],[Male%(6-8)9]]</f>
        <v>0</v>
      </c>
      <c r="DC196" s="1">
        <f>$CT196*Table1[[#This Row],[Female% (6-8)]]</f>
        <v>0</v>
      </c>
      <c r="DD196" s="1">
        <f>$CU196*Table1[[#This Row],[Male%(6-8)]]</f>
        <v>0</v>
      </c>
      <c r="DE196" s="1">
        <f>Table1[[#This Row],[Female% (9 - 11)11]]+Table1[[#This Row],[Male% (9 - 11)12]]</f>
        <v>0</v>
      </c>
      <c r="DF196" s="1">
        <f>$CT196*Table1[[#This Row],[Female% (9 - 11)]]</f>
        <v>0</v>
      </c>
      <c r="DG196" s="1">
        <f>$CU196*Table1[[#This Row],[Male% (9 - 11)]]</f>
        <v>0</v>
      </c>
      <c r="DH196" s="1">
        <f>Table1[[#This Row],[Female% (12-14)14]]+Table1[[#This Row],[Male%(12-14)15]]</f>
        <v>0</v>
      </c>
      <c r="DI196" s="1">
        <f>$CT196*Table1[[#This Row],[Female% (12-14)]]</f>
        <v>0</v>
      </c>
      <c r="DJ196" s="1">
        <f>$CU196*Table1[[#This Row],[Male%(12-14)]]</f>
        <v>0</v>
      </c>
      <c r="DK196" s="1">
        <f>Table1[[#This Row],[Female% (15-17)17]]+Table1[[#This Row],[Male%(15-17)18]]</f>
        <v>0</v>
      </c>
      <c r="DL196" s="1">
        <f>$CT196*Table1[[#This Row],[Female% (15-17)]]</f>
        <v>0</v>
      </c>
      <c r="DM196" s="1">
        <f>$CU196*Table1[[#This Row],[Male%(15-17)]]</f>
        <v>0</v>
      </c>
      <c r="DN196" s="1">
        <f>$AF196*Table1[[#This Row],[Total% (18-19)]]</f>
        <v>0</v>
      </c>
      <c r="DO196" s="1">
        <f>$CT196*Table1[[#This Row],[Female% (18-19)]]</f>
        <v>0</v>
      </c>
      <c r="DP196" s="1">
        <f>$CU196*Table1[[#This Row],[Male%(18-19)]]</f>
        <v>0</v>
      </c>
      <c r="DQ196" s="1">
        <f>$AF196*Table1[[#This Row],[Total% (20-24)]]</f>
        <v>0</v>
      </c>
      <c r="DR196" s="1">
        <f>$CT196*Table1[[#This Row],[Female% (20-24)]]</f>
        <v>0</v>
      </c>
      <c r="DS196" s="1">
        <f>$CU196*Table1[[#This Row],[Male% (20-24)]]</f>
        <v>0</v>
      </c>
      <c r="DT196" s="1">
        <f>$AF196*Table1[[#This Row],[Total% (25-29)]]</f>
        <v>0</v>
      </c>
      <c r="DU196" s="1">
        <f>$CT196*Table1[[#This Row],[Female% (25-29)]]</f>
        <v>0</v>
      </c>
      <c r="DV196" s="1">
        <f>$CU196*Table1[[#This Row],[Male% (25-29)]]</f>
        <v>0</v>
      </c>
      <c r="DW196" s="1">
        <f>$AF196*Table1[[#This Row],[Total%   (30-34)]]</f>
        <v>0</v>
      </c>
      <c r="DX196" s="1">
        <f>$CT196*Table1[[#This Row],[Female%   (30-34)]]</f>
        <v>0</v>
      </c>
      <c r="DY196" s="1">
        <f>$CU196*Table1[[#This Row],[Male%  (30-34)]]</f>
        <v>0</v>
      </c>
      <c r="DZ196" s="1">
        <f>$AF196*Table1[[#This Row],[Total% (35-39)]]</f>
        <v>0</v>
      </c>
      <c r="EA196" s="1">
        <f>$CT196*Table1[[#This Row],[Female% (35-39)]]</f>
        <v>0</v>
      </c>
      <c r="EB196" s="1">
        <f>$CU196*Table1[[#This Row],[Male% (35-39)]]</f>
        <v>0</v>
      </c>
      <c r="EC196" s="1">
        <f>$AF196*Table1[[#This Row],[Total% (40-44)]]</f>
        <v>0</v>
      </c>
      <c r="ED196" s="1">
        <f>$CT196*Table1[[#This Row],[Female% (40-44)]]</f>
        <v>0</v>
      </c>
      <c r="EE196" s="1">
        <f>$CU196*Table1[[#This Row],[Male%(55-59)]]</f>
        <v>0</v>
      </c>
      <c r="EF196" s="1">
        <f>$AF196*Table1[[#This Row],[Total% (45-49)]]</f>
        <v>0</v>
      </c>
      <c r="EG196" s="1">
        <f>$CT196*Table1[[#This Row],[Female% (45-49)]]</f>
        <v>0</v>
      </c>
      <c r="EH196" s="1">
        <f>$CU196*Table1[[#This Row],[Male% (45-49)]]</f>
        <v>0</v>
      </c>
      <c r="EI196" s="1">
        <f>$AF196*Table1[[#This Row],[Total% (50-54)]]</f>
        <v>0</v>
      </c>
      <c r="EJ196" s="1">
        <f>$CT196*Table1[[#This Row],[Female%(50-54)]]</f>
        <v>0</v>
      </c>
      <c r="EK196" s="1">
        <f>$CU196*Table1[[#This Row],[Male% (50-54)]]</f>
        <v>0</v>
      </c>
      <c r="EL196" s="1">
        <f>$AF196*Table1[[#This Row],[Total% (55-59)]]</f>
        <v>0</v>
      </c>
      <c r="EM196" s="1">
        <f>$CT196*Table1[[#This Row],[Female% (55-59)]]</f>
        <v>0</v>
      </c>
      <c r="EN196" s="1">
        <f>$CU196*Table1[[#This Row],[Male% (55-59)]]</f>
        <v>0</v>
      </c>
      <c r="EO196" s="1">
        <f>$AF196*Table1[[#This Row],[Total% (60-64)]]</f>
        <v>0</v>
      </c>
      <c r="EP196" s="1">
        <f>$CT196*Table1[[#This Row],[Female%(60-64)]]</f>
        <v>0</v>
      </c>
      <c r="EQ196" s="1">
        <f>$CU196*Table1[[#This Row],[Male%(60-64)]]</f>
        <v>0</v>
      </c>
      <c r="ER196" s="1">
        <f>$AF196*Table1[[#This Row],[Total% (&gt;=65)]]</f>
        <v>0</v>
      </c>
      <c r="ES196" s="1">
        <f>$CT196*Table1[[#This Row],[Female%(&gt;=65)]]</f>
        <v>0</v>
      </c>
      <c r="ET196" s="1">
        <f>$CU196*Table1[[#This Row],[Male% (&gt;=65)]]</f>
        <v>0</v>
      </c>
    </row>
    <row r="197" spans="1:150" hidden="1" x14ac:dyDescent="0.35">
      <c r="A197" t="s">
        <v>157</v>
      </c>
      <c r="B197" t="s">
        <v>158</v>
      </c>
      <c r="C197" t="s">
        <v>250</v>
      </c>
      <c r="D197" t="s">
        <v>251</v>
      </c>
      <c r="E197" t="s">
        <v>252</v>
      </c>
      <c r="F197" t="s">
        <v>253</v>
      </c>
      <c r="H197">
        <v>3</v>
      </c>
      <c r="I197" s="1">
        <v>0</v>
      </c>
      <c r="J197" s="1">
        <v>0</v>
      </c>
      <c r="K197" s="1">
        <v>90792</v>
      </c>
      <c r="L197" s="1">
        <v>14385</v>
      </c>
      <c r="M197" s="1">
        <v>0</v>
      </c>
      <c r="N197" s="1">
        <v>105177</v>
      </c>
      <c r="O197" s="3">
        <v>0</v>
      </c>
      <c r="P197" s="3">
        <v>1</v>
      </c>
      <c r="Q197" s="3">
        <v>0</v>
      </c>
      <c r="R197" s="3">
        <v>0</v>
      </c>
      <c r="S197" s="3">
        <v>0</v>
      </c>
      <c r="T197" s="1">
        <v>105177</v>
      </c>
      <c r="U197" s="1">
        <v>0</v>
      </c>
      <c r="V197" s="10">
        <f>Table1[[#This Row],[Pop NW+RATAA]]*Table1[[#This Row],[Perc_pop_Northern_Aleppo]]</f>
        <v>0</v>
      </c>
      <c r="W197" s="10">
        <f>Table1[[#This Row],[Pop NW+RATAA]]*Table1[[#This Row],[Perc_pop_Afrin District]]</f>
        <v>0</v>
      </c>
      <c r="X197" s="10">
        <f>Table1[[#This Row],[Pop NW+RATAA]]*Table1[[#This Row],[Perc_pop_Euphrates Shiled]]</f>
        <v>0</v>
      </c>
      <c r="Y197" s="10">
        <f>Table1[[#This Row],[Pop NW+RATAA]]*Table1[[#This Row],[Perc_Pop_Idleb_NSAG]]</f>
        <v>0</v>
      </c>
      <c r="Z197" s="3">
        <v>0</v>
      </c>
      <c r="AA197" s="3">
        <v>0</v>
      </c>
      <c r="AB197" s="3">
        <v>0</v>
      </c>
      <c r="AC197" s="3">
        <v>0</v>
      </c>
      <c r="AD197" s="1">
        <v>0</v>
      </c>
      <c r="AE197" s="1">
        <v>105177</v>
      </c>
      <c r="AF197" s="1">
        <v>0</v>
      </c>
      <c r="AG197" s="1">
        <v>0</v>
      </c>
      <c r="AH197" s="1">
        <v>0</v>
      </c>
      <c r="AI197" s="1">
        <f>Table1[[#This Row],[NWS_pin]]*Table1[[#This Row],[Perc_pop_Northern_Aleppo]]</f>
        <v>0</v>
      </c>
      <c r="AJ197" s="1">
        <f>Table1[[#This Row],[NWS_pin]]*Table1[[#This Row],[Perc_pop_Afrin District]]</f>
        <v>0</v>
      </c>
      <c r="AK197" s="1">
        <f>Table1[[#This Row],[NWS_pin]]*Table1[[#This Row],[Perc_pop_Euphrates Shiled]]</f>
        <v>0</v>
      </c>
      <c r="AL197" s="1">
        <f>Table1[[#This Row],[NWS_pin]]*Table1[[#This Row],[Perc_Pop_Idleb_NSAG]]</f>
        <v>0</v>
      </c>
      <c r="AM197" s="4">
        <v>0.51581631537381001</v>
      </c>
      <c r="AN197" s="4">
        <v>0.48418368462618999</v>
      </c>
      <c r="AO197" s="4">
        <v>0.13714957139908299</v>
      </c>
      <c r="AP197" s="4">
        <v>0.50925236752203196</v>
      </c>
      <c r="AQ197" s="4">
        <v>0.42058016801451897</v>
      </c>
      <c r="AR197" s="4">
        <v>1.5065041381367701E-2</v>
      </c>
      <c r="AS197" s="4">
        <v>2.84881780132511E-3</v>
      </c>
      <c r="AT197" s="4">
        <v>5.2253605280756399E-2</v>
      </c>
      <c r="AU197" s="4">
        <v>3.9227256553117401E-2</v>
      </c>
      <c r="AV197" s="4">
        <v>4.0669124186538598E-2</v>
      </c>
      <c r="AW197" s="4">
        <v>3.7691188995404697E-2</v>
      </c>
      <c r="AX197" s="4">
        <v>0.108436783301425</v>
      </c>
      <c r="AY197" s="4">
        <v>0.13100101877596601</v>
      </c>
      <c r="AZ197" s="4">
        <v>8.4398383885529601E-2</v>
      </c>
      <c r="BA197" s="4">
        <v>9.5300341928707705E-2</v>
      </c>
      <c r="BB197" s="4">
        <v>8.9477353004535007E-2</v>
      </c>
      <c r="BC197" s="4">
        <v>0.10150375767091301</v>
      </c>
      <c r="BD197" s="4">
        <v>8.2833439630638106E-2</v>
      </c>
      <c r="BE197" s="4">
        <v>5.9778234842310603E-2</v>
      </c>
      <c r="BF197" s="4">
        <v>0.107394884308984</v>
      </c>
      <c r="BG197" s="4">
        <v>7.3605341047295006E-2</v>
      </c>
      <c r="BH197" s="4">
        <v>7.8416192887099195E-2</v>
      </c>
      <c r="BI197" s="4">
        <v>6.8480187208761603E-2</v>
      </c>
      <c r="BJ197" s="4">
        <v>7.3631725135702306E-2</v>
      </c>
      <c r="BK197" s="4">
        <v>8.4440015283796299E-2</v>
      </c>
      <c r="BL197" s="4">
        <v>6.2117309064485197E-2</v>
      </c>
      <c r="BM197" s="4">
        <v>3.9441355264780903E-2</v>
      </c>
      <c r="BN197" s="4">
        <v>4.2671874338138599E-2</v>
      </c>
      <c r="BO197" s="4">
        <v>3.59997803045451E-2</v>
      </c>
      <c r="BP197" s="4">
        <v>7.5297367010377203E-2</v>
      </c>
      <c r="BQ197" s="4">
        <v>6.34427398128658E-2</v>
      </c>
      <c r="BR197" s="4">
        <v>8.7926479298353899E-2</v>
      </c>
      <c r="BS197" s="4">
        <v>0.10654535254807</v>
      </c>
      <c r="BT197" s="4">
        <v>9.2844990333749405E-2</v>
      </c>
      <c r="BU197" s="4">
        <v>0.12114078519287901</v>
      </c>
      <c r="BV197" s="4">
        <v>9.9288366534075204E-2</v>
      </c>
      <c r="BW197" s="4">
        <v>0.110839115441232</v>
      </c>
      <c r="BX197" s="4">
        <v>8.6982985476681998E-2</v>
      </c>
      <c r="BY197" s="4">
        <v>6.8925380484676405E-2</v>
      </c>
      <c r="BZ197" s="4">
        <v>5.3721016884902502E-2</v>
      </c>
      <c r="CA197" s="4">
        <v>8.5123073754109699E-2</v>
      </c>
      <c r="CB197" s="4">
        <v>4.3117732566483297E-2</v>
      </c>
      <c r="CC197" s="4">
        <v>4.10792917242419E-2</v>
      </c>
      <c r="CD197" s="4">
        <v>4.52893485827566E-2</v>
      </c>
      <c r="CE197" s="4">
        <v>2.5685036889708201E-2</v>
      </c>
      <c r="CF197" s="4">
        <v>1.6649727327101599E-2</v>
      </c>
      <c r="CG197" s="4">
        <v>3.5310640219245501E-2</v>
      </c>
      <c r="CH197" s="4">
        <v>2.1790983071134098E-2</v>
      </c>
      <c r="CI197" s="4">
        <v>3.2265003220933203E-2</v>
      </c>
      <c r="CJ197" s="4">
        <v>1.06326754858804E-2</v>
      </c>
      <c r="CK197" s="4">
        <v>1.0940643526294799E-2</v>
      </c>
      <c r="CL197" s="4">
        <v>1.30961325421579E-2</v>
      </c>
      <c r="CM197" s="4">
        <v>8.6443323590781104E-3</v>
      </c>
      <c r="CN197" s="4">
        <v>1.66618566546647E-2</v>
      </c>
      <c r="CO197" s="4">
        <v>2.0402815510620401E-2</v>
      </c>
      <c r="CP197" s="4">
        <v>1.26764939208216E-2</v>
      </c>
      <c r="CQ197" s="4">
        <v>1.9271037852849799E-2</v>
      </c>
      <c r="CR197" s="4">
        <v>2.92053538838105E-2</v>
      </c>
      <c r="CS197" s="4">
        <v>8.6876942715696792E-3</v>
      </c>
      <c r="CT197" s="1">
        <f>Table1[[#This Row],[Female %]]*Table1[[#This Row],[NWS_pin]]</f>
        <v>0</v>
      </c>
      <c r="CU197" s="1">
        <f>Table1[[#This Row],[Male %]]*Table1[[#This Row],[NWS_pin]]</f>
        <v>0</v>
      </c>
      <c r="CV197" s="1">
        <f>Table1[[#This Row],[Female% (0-2)22]]+Table1[[#This Row],[Male%(0-2)3]]</f>
        <v>0</v>
      </c>
      <c r="CW197" s="1">
        <f>$CT197*Table1[[#This Row],[Female% (0-2)]]</f>
        <v>0</v>
      </c>
      <c r="CX197" s="1">
        <f>$CU197*Table1[[#This Row],[Male%(0-2)]]</f>
        <v>0</v>
      </c>
      <c r="CY197" s="1">
        <f>Table1[[#This Row],[Female%  (3-5)5]]+Table1[[#This Row],[Male% (3-5)6]]</f>
        <v>0</v>
      </c>
      <c r="CZ197" s="1">
        <f>$AF197*Table1[[#This Row],[Female%  (3-5)]]</f>
        <v>0</v>
      </c>
      <c r="DA197" s="1">
        <f>$CU197*Table1[[#This Row],[Male% (3-5)]]</f>
        <v>0</v>
      </c>
      <c r="DB197" s="1">
        <f>Table1[[#This Row],[Female% (6-8)8]]+Table1[[#This Row],[Male%(6-8)9]]</f>
        <v>0</v>
      </c>
      <c r="DC197" s="1">
        <f>$CT197*Table1[[#This Row],[Female% (6-8)]]</f>
        <v>0</v>
      </c>
      <c r="DD197" s="1">
        <f>$CU197*Table1[[#This Row],[Male%(6-8)]]</f>
        <v>0</v>
      </c>
      <c r="DE197" s="1">
        <f>Table1[[#This Row],[Female% (9 - 11)11]]+Table1[[#This Row],[Male% (9 - 11)12]]</f>
        <v>0</v>
      </c>
      <c r="DF197" s="1">
        <f>$CT197*Table1[[#This Row],[Female% (9 - 11)]]</f>
        <v>0</v>
      </c>
      <c r="DG197" s="1">
        <f>$CU197*Table1[[#This Row],[Male% (9 - 11)]]</f>
        <v>0</v>
      </c>
      <c r="DH197" s="1">
        <f>Table1[[#This Row],[Female% (12-14)14]]+Table1[[#This Row],[Male%(12-14)15]]</f>
        <v>0</v>
      </c>
      <c r="DI197" s="1">
        <f>$CT197*Table1[[#This Row],[Female% (12-14)]]</f>
        <v>0</v>
      </c>
      <c r="DJ197" s="1">
        <f>$CU197*Table1[[#This Row],[Male%(12-14)]]</f>
        <v>0</v>
      </c>
      <c r="DK197" s="1">
        <f>Table1[[#This Row],[Female% (15-17)17]]+Table1[[#This Row],[Male%(15-17)18]]</f>
        <v>0</v>
      </c>
      <c r="DL197" s="1">
        <f>$CT197*Table1[[#This Row],[Female% (15-17)]]</f>
        <v>0</v>
      </c>
      <c r="DM197" s="1">
        <f>$CU197*Table1[[#This Row],[Male%(15-17)]]</f>
        <v>0</v>
      </c>
      <c r="DN197" s="1">
        <f>$AF197*Table1[[#This Row],[Total% (18-19)]]</f>
        <v>0</v>
      </c>
      <c r="DO197" s="1">
        <f>$CT197*Table1[[#This Row],[Female% (18-19)]]</f>
        <v>0</v>
      </c>
      <c r="DP197" s="1">
        <f>$CU197*Table1[[#This Row],[Male%(18-19)]]</f>
        <v>0</v>
      </c>
      <c r="DQ197" s="1">
        <f>$AF197*Table1[[#This Row],[Total% (20-24)]]</f>
        <v>0</v>
      </c>
      <c r="DR197" s="1">
        <f>$CT197*Table1[[#This Row],[Female% (20-24)]]</f>
        <v>0</v>
      </c>
      <c r="DS197" s="1">
        <f>$CU197*Table1[[#This Row],[Male% (20-24)]]</f>
        <v>0</v>
      </c>
      <c r="DT197" s="1">
        <f>$AF197*Table1[[#This Row],[Total% (25-29)]]</f>
        <v>0</v>
      </c>
      <c r="DU197" s="1">
        <f>$CT197*Table1[[#This Row],[Female% (25-29)]]</f>
        <v>0</v>
      </c>
      <c r="DV197" s="1">
        <f>$CU197*Table1[[#This Row],[Male% (25-29)]]</f>
        <v>0</v>
      </c>
      <c r="DW197" s="1">
        <f>$AF197*Table1[[#This Row],[Total%   (30-34)]]</f>
        <v>0</v>
      </c>
      <c r="DX197" s="1">
        <f>$CT197*Table1[[#This Row],[Female%   (30-34)]]</f>
        <v>0</v>
      </c>
      <c r="DY197" s="1">
        <f>$CU197*Table1[[#This Row],[Male%  (30-34)]]</f>
        <v>0</v>
      </c>
      <c r="DZ197" s="1">
        <f>$AF197*Table1[[#This Row],[Total% (35-39)]]</f>
        <v>0</v>
      </c>
      <c r="EA197" s="1">
        <f>$CT197*Table1[[#This Row],[Female% (35-39)]]</f>
        <v>0</v>
      </c>
      <c r="EB197" s="1">
        <f>$CU197*Table1[[#This Row],[Male% (35-39)]]</f>
        <v>0</v>
      </c>
      <c r="EC197" s="1">
        <f>$AF197*Table1[[#This Row],[Total% (40-44)]]</f>
        <v>0</v>
      </c>
      <c r="ED197" s="1">
        <f>$CT197*Table1[[#This Row],[Female% (40-44)]]</f>
        <v>0</v>
      </c>
      <c r="EE197" s="1">
        <f>$CU197*Table1[[#This Row],[Male%(55-59)]]</f>
        <v>0</v>
      </c>
      <c r="EF197" s="1">
        <f>$AF197*Table1[[#This Row],[Total% (45-49)]]</f>
        <v>0</v>
      </c>
      <c r="EG197" s="1">
        <f>$CT197*Table1[[#This Row],[Female% (45-49)]]</f>
        <v>0</v>
      </c>
      <c r="EH197" s="1">
        <f>$CU197*Table1[[#This Row],[Male% (45-49)]]</f>
        <v>0</v>
      </c>
      <c r="EI197" s="1">
        <f>$AF197*Table1[[#This Row],[Total% (50-54)]]</f>
        <v>0</v>
      </c>
      <c r="EJ197" s="1">
        <f>$CT197*Table1[[#This Row],[Female%(50-54)]]</f>
        <v>0</v>
      </c>
      <c r="EK197" s="1">
        <f>$CU197*Table1[[#This Row],[Male% (50-54)]]</f>
        <v>0</v>
      </c>
      <c r="EL197" s="1">
        <f>$AF197*Table1[[#This Row],[Total% (55-59)]]</f>
        <v>0</v>
      </c>
      <c r="EM197" s="1">
        <f>$CT197*Table1[[#This Row],[Female% (55-59)]]</f>
        <v>0</v>
      </c>
      <c r="EN197" s="1">
        <f>$CU197*Table1[[#This Row],[Male% (55-59)]]</f>
        <v>0</v>
      </c>
      <c r="EO197" s="1">
        <f>$AF197*Table1[[#This Row],[Total% (60-64)]]</f>
        <v>0</v>
      </c>
      <c r="EP197" s="1">
        <f>$CT197*Table1[[#This Row],[Female%(60-64)]]</f>
        <v>0</v>
      </c>
      <c r="EQ197" s="1">
        <f>$CU197*Table1[[#This Row],[Male%(60-64)]]</f>
        <v>0</v>
      </c>
      <c r="ER197" s="1">
        <f>$AF197*Table1[[#This Row],[Total% (&gt;=65)]]</f>
        <v>0</v>
      </c>
      <c r="ES197" s="1">
        <f>$CT197*Table1[[#This Row],[Female%(&gt;=65)]]</f>
        <v>0</v>
      </c>
      <c r="ET197" s="1">
        <f>$CU197*Table1[[#This Row],[Male% (&gt;=65)]]</f>
        <v>0</v>
      </c>
    </row>
    <row r="198" spans="1:150" hidden="1" x14ac:dyDescent="0.35">
      <c r="A198" t="s">
        <v>157</v>
      </c>
      <c r="B198" t="s">
        <v>158</v>
      </c>
      <c r="C198" t="s">
        <v>250</v>
      </c>
      <c r="D198" t="s">
        <v>251</v>
      </c>
      <c r="E198" t="s">
        <v>335</v>
      </c>
      <c r="F198" t="s">
        <v>336</v>
      </c>
      <c r="H198">
        <v>3</v>
      </c>
      <c r="I198" s="1">
        <v>0</v>
      </c>
      <c r="J198" s="1">
        <v>0</v>
      </c>
      <c r="K198" s="1">
        <v>14928</v>
      </c>
      <c r="L198" s="1">
        <v>1605</v>
      </c>
      <c r="M198" s="1">
        <v>0</v>
      </c>
      <c r="N198" s="1">
        <v>16533</v>
      </c>
      <c r="O198" s="3">
        <v>1</v>
      </c>
      <c r="P198" s="3">
        <v>0</v>
      </c>
      <c r="Q198" s="3">
        <v>0</v>
      </c>
      <c r="R198" s="3">
        <v>0</v>
      </c>
      <c r="S198" s="3">
        <v>0</v>
      </c>
      <c r="T198" s="1">
        <v>16533</v>
      </c>
      <c r="U198" s="1">
        <v>0</v>
      </c>
      <c r="V198" s="10">
        <f>Table1[[#This Row],[Pop NW+RATAA]]*Table1[[#This Row],[Perc_pop_Northern_Aleppo]]</f>
        <v>0</v>
      </c>
      <c r="W198" s="10">
        <f>Table1[[#This Row],[Pop NW+RATAA]]*Table1[[#This Row],[Perc_pop_Afrin District]]</f>
        <v>0</v>
      </c>
      <c r="X198" s="10">
        <f>Table1[[#This Row],[Pop NW+RATAA]]*Table1[[#This Row],[Perc_pop_Euphrates Shiled]]</f>
        <v>0</v>
      </c>
      <c r="Y198" s="10">
        <f>Table1[[#This Row],[Pop NW+RATAA]]*Table1[[#This Row],[Perc_Pop_Idleb_NSAG]]</f>
        <v>0</v>
      </c>
      <c r="Z198" s="3">
        <v>0</v>
      </c>
      <c r="AA198" s="3">
        <v>0</v>
      </c>
      <c r="AB198" s="3">
        <v>0</v>
      </c>
      <c r="AC198" s="3">
        <v>0</v>
      </c>
      <c r="AD198" s="1">
        <v>16533</v>
      </c>
      <c r="AE198" s="1">
        <v>0</v>
      </c>
      <c r="AF198" s="1">
        <v>0</v>
      </c>
      <c r="AG198" s="1">
        <v>0</v>
      </c>
      <c r="AH198" s="1">
        <v>0</v>
      </c>
      <c r="AI198" s="1">
        <f>Table1[[#This Row],[NWS_pin]]*Table1[[#This Row],[Perc_pop_Northern_Aleppo]]</f>
        <v>0</v>
      </c>
      <c r="AJ198" s="1">
        <f>Table1[[#This Row],[NWS_pin]]*Table1[[#This Row],[Perc_pop_Afrin District]]</f>
        <v>0</v>
      </c>
      <c r="AK198" s="1">
        <f>Table1[[#This Row],[NWS_pin]]*Table1[[#This Row],[Perc_pop_Euphrates Shiled]]</f>
        <v>0</v>
      </c>
      <c r="AL198" s="1">
        <f>Table1[[#This Row],[NWS_pin]]*Table1[[#This Row],[Perc_Pop_Idleb_NSAG]]</f>
        <v>0</v>
      </c>
      <c r="AM198" s="4">
        <v>0.53301706334418397</v>
      </c>
      <c r="AN198" s="4">
        <v>0.46698293665581603</v>
      </c>
      <c r="AO198" s="4">
        <v>0.113108433028384</v>
      </c>
      <c r="AP198" s="4">
        <v>0.46903798184377998</v>
      </c>
      <c r="AQ198" s="4">
        <v>0.47088015568518898</v>
      </c>
      <c r="AR198" s="4">
        <v>2.0587860014836298E-2</v>
      </c>
      <c r="AS198" s="4">
        <v>5.3125306658694596E-3</v>
      </c>
      <c r="AT198" s="4">
        <v>3.4181471790325803E-2</v>
      </c>
      <c r="AU198" s="4">
        <v>4.7042873131265997E-2</v>
      </c>
      <c r="AV198" s="4">
        <v>5.9351006617959202E-2</v>
      </c>
      <c r="AW198" s="4">
        <v>3.2994297366792803E-2</v>
      </c>
      <c r="AX198" s="4">
        <v>0.13408441756404499</v>
      </c>
      <c r="AY198" s="4">
        <v>0.12608542430511499</v>
      </c>
      <c r="AZ198" s="4">
        <v>0.14321451539399599</v>
      </c>
      <c r="BA198" s="4">
        <v>0.110344625965606</v>
      </c>
      <c r="BB198" s="4">
        <v>9.4316343185939497E-2</v>
      </c>
      <c r="BC198" s="4">
        <v>0.12863940195645701</v>
      </c>
      <c r="BD198" s="4">
        <v>8.2136518881921E-2</v>
      </c>
      <c r="BE198" s="4">
        <v>7.6288396652003307E-2</v>
      </c>
      <c r="BF198" s="4">
        <v>8.8811599901778601E-2</v>
      </c>
      <c r="BG198" s="4">
        <v>8.3021748409267099E-2</v>
      </c>
      <c r="BH198" s="4">
        <v>9.8990575213419002E-2</v>
      </c>
      <c r="BI198" s="4">
        <v>6.4794835817652705E-2</v>
      </c>
      <c r="BJ198" s="4">
        <v>7.2042954025289999E-2</v>
      </c>
      <c r="BK198" s="4">
        <v>6.0366947166648803E-2</v>
      </c>
      <c r="BL198" s="4">
        <v>8.5370016748282901E-2</v>
      </c>
      <c r="BM198" s="4">
        <v>2.4852536982541602E-2</v>
      </c>
      <c r="BN198" s="4">
        <v>2.64004174757482E-2</v>
      </c>
      <c r="BO198" s="4">
        <v>2.3085777107319801E-2</v>
      </c>
      <c r="BP198" s="4">
        <v>6.7597389560027699E-2</v>
      </c>
      <c r="BQ198" s="4">
        <v>7.8403031770078693E-2</v>
      </c>
      <c r="BR198" s="4">
        <v>5.5263766152724499E-2</v>
      </c>
      <c r="BS198" s="4">
        <v>8.2201826946842499E-2</v>
      </c>
      <c r="BT198" s="4">
        <v>9.5541122644733897E-2</v>
      </c>
      <c r="BU198" s="4">
        <v>6.6976276585437894E-2</v>
      </c>
      <c r="BV198" s="4">
        <v>9.50867198645379E-2</v>
      </c>
      <c r="BW198" s="4">
        <v>0.104203240088101</v>
      </c>
      <c r="BX198" s="4">
        <v>8.4681070201447203E-2</v>
      </c>
      <c r="BY198" s="4">
        <v>8.3891345590742794E-2</v>
      </c>
      <c r="BZ198" s="4">
        <v>6.5024563438260796E-2</v>
      </c>
      <c r="CA198" s="4">
        <v>0.105426001417113</v>
      </c>
      <c r="CB198" s="4">
        <v>5.0113097765258997E-2</v>
      </c>
      <c r="CC198" s="4">
        <v>4.1195657056597897E-2</v>
      </c>
      <c r="CD198" s="4">
        <v>6.0291516902187203E-2</v>
      </c>
      <c r="CE198" s="4">
        <v>3.4694845000601097E-2</v>
      </c>
      <c r="CF198" s="4">
        <v>3.0063117606165101E-2</v>
      </c>
      <c r="CG198" s="4">
        <v>3.9981525819546497E-2</v>
      </c>
      <c r="CH198" s="4">
        <v>5.5856520294794501E-3</v>
      </c>
      <c r="CI198" s="4">
        <v>3.4284769811170198E-3</v>
      </c>
      <c r="CJ198" s="4">
        <v>8.0478642842388808E-3</v>
      </c>
      <c r="CK198" s="4">
        <v>8.6741168516552697E-3</v>
      </c>
      <c r="CL198" s="4">
        <v>8.5505341947469306E-3</v>
      </c>
      <c r="CM198" s="4">
        <v>8.8151748212189594E-3</v>
      </c>
      <c r="CN198" s="4">
        <v>1.6841083610637699E-3</v>
      </c>
      <c r="CO198" s="4">
        <v>3.1595768257352999E-3</v>
      </c>
      <c r="CP198" s="4">
        <v>0</v>
      </c>
      <c r="CQ198" s="4">
        <v>1.6945223069853299E-2</v>
      </c>
      <c r="CR198" s="4">
        <v>2.86315687776303E-2</v>
      </c>
      <c r="CS198" s="4">
        <v>3.6063595238063702E-3</v>
      </c>
      <c r="CT198" s="1">
        <f>Table1[[#This Row],[Female %]]*Table1[[#This Row],[NWS_pin]]</f>
        <v>0</v>
      </c>
      <c r="CU198" s="1">
        <f>Table1[[#This Row],[Male %]]*Table1[[#This Row],[NWS_pin]]</f>
        <v>0</v>
      </c>
      <c r="CV198" s="1">
        <f>Table1[[#This Row],[Female% (0-2)22]]+Table1[[#This Row],[Male%(0-2)3]]</f>
        <v>0</v>
      </c>
      <c r="CW198" s="1">
        <f>$CT198*Table1[[#This Row],[Female% (0-2)]]</f>
        <v>0</v>
      </c>
      <c r="CX198" s="1">
        <f>$CU198*Table1[[#This Row],[Male%(0-2)]]</f>
        <v>0</v>
      </c>
      <c r="CY198" s="1">
        <f>Table1[[#This Row],[Female%  (3-5)5]]+Table1[[#This Row],[Male% (3-5)6]]</f>
        <v>0</v>
      </c>
      <c r="CZ198" s="1">
        <f>$AF198*Table1[[#This Row],[Female%  (3-5)]]</f>
        <v>0</v>
      </c>
      <c r="DA198" s="1">
        <f>$CU198*Table1[[#This Row],[Male% (3-5)]]</f>
        <v>0</v>
      </c>
      <c r="DB198" s="1">
        <f>Table1[[#This Row],[Female% (6-8)8]]+Table1[[#This Row],[Male%(6-8)9]]</f>
        <v>0</v>
      </c>
      <c r="DC198" s="1">
        <f>$CT198*Table1[[#This Row],[Female% (6-8)]]</f>
        <v>0</v>
      </c>
      <c r="DD198" s="1">
        <f>$CU198*Table1[[#This Row],[Male%(6-8)]]</f>
        <v>0</v>
      </c>
      <c r="DE198" s="1">
        <f>Table1[[#This Row],[Female% (9 - 11)11]]+Table1[[#This Row],[Male% (9 - 11)12]]</f>
        <v>0</v>
      </c>
      <c r="DF198" s="1">
        <f>$CT198*Table1[[#This Row],[Female% (9 - 11)]]</f>
        <v>0</v>
      </c>
      <c r="DG198" s="1">
        <f>$CU198*Table1[[#This Row],[Male% (9 - 11)]]</f>
        <v>0</v>
      </c>
      <c r="DH198" s="1">
        <f>Table1[[#This Row],[Female% (12-14)14]]+Table1[[#This Row],[Male%(12-14)15]]</f>
        <v>0</v>
      </c>
      <c r="DI198" s="1">
        <f>$CT198*Table1[[#This Row],[Female% (12-14)]]</f>
        <v>0</v>
      </c>
      <c r="DJ198" s="1">
        <f>$CU198*Table1[[#This Row],[Male%(12-14)]]</f>
        <v>0</v>
      </c>
      <c r="DK198" s="1">
        <f>Table1[[#This Row],[Female% (15-17)17]]+Table1[[#This Row],[Male%(15-17)18]]</f>
        <v>0</v>
      </c>
      <c r="DL198" s="1">
        <f>$CT198*Table1[[#This Row],[Female% (15-17)]]</f>
        <v>0</v>
      </c>
      <c r="DM198" s="1">
        <f>$CU198*Table1[[#This Row],[Male%(15-17)]]</f>
        <v>0</v>
      </c>
      <c r="DN198" s="1">
        <f>$AF198*Table1[[#This Row],[Total% (18-19)]]</f>
        <v>0</v>
      </c>
      <c r="DO198" s="1">
        <f>$CT198*Table1[[#This Row],[Female% (18-19)]]</f>
        <v>0</v>
      </c>
      <c r="DP198" s="1">
        <f>$CU198*Table1[[#This Row],[Male%(18-19)]]</f>
        <v>0</v>
      </c>
      <c r="DQ198" s="1">
        <f>$AF198*Table1[[#This Row],[Total% (20-24)]]</f>
        <v>0</v>
      </c>
      <c r="DR198" s="1">
        <f>$CT198*Table1[[#This Row],[Female% (20-24)]]</f>
        <v>0</v>
      </c>
      <c r="DS198" s="1">
        <f>$CU198*Table1[[#This Row],[Male% (20-24)]]</f>
        <v>0</v>
      </c>
      <c r="DT198" s="1">
        <f>$AF198*Table1[[#This Row],[Total% (25-29)]]</f>
        <v>0</v>
      </c>
      <c r="DU198" s="1">
        <f>$CT198*Table1[[#This Row],[Female% (25-29)]]</f>
        <v>0</v>
      </c>
      <c r="DV198" s="1">
        <f>$CU198*Table1[[#This Row],[Male% (25-29)]]</f>
        <v>0</v>
      </c>
      <c r="DW198" s="1">
        <f>$AF198*Table1[[#This Row],[Total%   (30-34)]]</f>
        <v>0</v>
      </c>
      <c r="DX198" s="1">
        <f>$CT198*Table1[[#This Row],[Female%   (30-34)]]</f>
        <v>0</v>
      </c>
      <c r="DY198" s="1">
        <f>$CU198*Table1[[#This Row],[Male%  (30-34)]]</f>
        <v>0</v>
      </c>
      <c r="DZ198" s="1">
        <f>$AF198*Table1[[#This Row],[Total% (35-39)]]</f>
        <v>0</v>
      </c>
      <c r="EA198" s="1">
        <f>$CT198*Table1[[#This Row],[Female% (35-39)]]</f>
        <v>0</v>
      </c>
      <c r="EB198" s="1">
        <f>$CU198*Table1[[#This Row],[Male% (35-39)]]</f>
        <v>0</v>
      </c>
      <c r="EC198" s="1">
        <f>$AF198*Table1[[#This Row],[Total% (40-44)]]</f>
        <v>0</v>
      </c>
      <c r="ED198" s="1">
        <f>$CT198*Table1[[#This Row],[Female% (40-44)]]</f>
        <v>0</v>
      </c>
      <c r="EE198" s="1">
        <f>$CU198*Table1[[#This Row],[Male%(55-59)]]</f>
        <v>0</v>
      </c>
      <c r="EF198" s="1">
        <f>$AF198*Table1[[#This Row],[Total% (45-49)]]</f>
        <v>0</v>
      </c>
      <c r="EG198" s="1">
        <f>$CT198*Table1[[#This Row],[Female% (45-49)]]</f>
        <v>0</v>
      </c>
      <c r="EH198" s="1">
        <f>$CU198*Table1[[#This Row],[Male% (45-49)]]</f>
        <v>0</v>
      </c>
      <c r="EI198" s="1">
        <f>$AF198*Table1[[#This Row],[Total% (50-54)]]</f>
        <v>0</v>
      </c>
      <c r="EJ198" s="1">
        <f>$CT198*Table1[[#This Row],[Female%(50-54)]]</f>
        <v>0</v>
      </c>
      <c r="EK198" s="1">
        <f>$CU198*Table1[[#This Row],[Male% (50-54)]]</f>
        <v>0</v>
      </c>
      <c r="EL198" s="1">
        <f>$AF198*Table1[[#This Row],[Total% (55-59)]]</f>
        <v>0</v>
      </c>
      <c r="EM198" s="1">
        <f>$CT198*Table1[[#This Row],[Female% (55-59)]]</f>
        <v>0</v>
      </c>
      <c r="EN198" s="1">
        <f>$CU198*Table1[[#This Row],[Male% (55-59)]]</f>
        <v>0</v>
      </c>
      <c r="EO198" s="1">
        <f>$AF198*Table1[[#This Row],[Total% (60-64)]]</f>
        <v>0</v>
      </c>
      <c r="EP198" s="1">
        <f>$CT198*Table1[[#This Row],[Female%(60-64)]]</f>
        <v>0</v>
      </c>
      <c r="EQ198" s="1">
        <f>$CU198*Table1[[#This Row],[Male%(60-64)]]</f>
        <v>0</v>
      </c>
      <c r="ER198" s="1">
        <f>$AF198*Table1[[#This Row],[Total% (&gt;=65)]]</f>
        <v>0</v>
      </c>
      <c r="ES198" s="1">
        <f>$CT198*Table1[[#This Row],[Female%(&gt;=65)]]</f>
        <v>0</v>
      </c>
      <c r="ET198" s="1">
        <f>$CU198*Table1[[#This Row],[Male% (&gt;=65)]]</f>
        <v>0</v>
      </c>
    </row>
    <row r="199" spans="1:150" hidden="1" x14ac:dyDescent="0.35">
      <c r="A199" t="s">
        <v>157</v>
      </c>
      <c r="B199" t="s">
        <v>158</v>
      </c>
      <c r="C199" t="s">
        <v>250</v>
      </c>
      <c r="D199" t="s">
        <v>251</v>
      </c>
      <c r="E199" t="s">
        <v>257</v>
      </c>
      <c r="F199" t="s">
        <v>258</v>
      </c>
      <c r="H199">
        <v>4</v>
      </c>
      <c r="I199" s="1">
        <v>0</v>
      </c>
      <c r="J199" s="1">
        <v>0</v>
      </c>
      <c r="K199" s="1">
        <v>21994</v>
      </c>
      <c r="L199" s="1">
        <v>10952</v>
      </c>
      <c r="M199" s="1">
        <v>0</v>
      </c>
      <c r="N199" s="1">
        <v>32946</v>
      </c>
      <c r="O199" s="3">
        <v>0</v>
      </c>
      <c r="P199" s="3">
        <v>1</v>
      </c>
      <c r="Q199" s="3">
        <v>0</v>
      </c>
      <c r="R199" s="3">
        <v>0</v>
      </c>
      <c r="S199" s="3">
        <v>0</v>
      </c>
      <c r="T199" s="1">
        <v>32946</v>
      </c>
      <c r="U199" s="1">
        <v>0</v>
      </c>
      <c r="V199" s="10">
        <f>Table1[[#This Row],[Pop NW+RATAA]]*Table1[[#This Row],[Perc_pop_Northern_Aleppo]]</f>
        <v>0</v>
      </c>
      <c r="W199" s="10">
        <f>Table1[[#This Row],[Pop NW+RATAA]]*Table1[[#This Row],[Perc_pop_Afrin District]]</f>
        <v>0</v>
      </c>
      <c r="X199" s="10">
        <f>Table1[[#This Row],[Pop NW+RATAA]]*Table1[[#This Row],[Perc_pop_Euphrates Shiled]]</f>
        <v>0</v>
      </c>
      <c r="Y199" s="10">
        <f>Table1[[#This Row],[Pop NW+RATAA]]*Table1[[#This Row],[Perc_Pop_Idleb_NSAG]]</f>
        <v>0</v>
      </c>
      <c r="Z199" s="3">
        <v>0</v>
      </c>
      <c r="AA199" s="3">
        <v>0</v>
      </c>
      <c r="AB199" s="3">
        <v>0</v>
      </c>
      <c r="AC199" s="3">
        <v>0</v>
      </c>
      <c r="AD199" s="1">
        <v>0</v>
      </c>
      <c r="AE199" s="1">
        <v>32946</v>
      </c>
      <c r="AF199" s="1">
        <v>0</v>
      </c>
      <c r="AG199" s="1">
        <v>0</v>
      </c>
      <c r="AH199" s="1">
        <v>0</v>
      </c>
      <c r="AI199" s="1">
        <f>Table1[[#This Row],[NWS_pin]]*Table1[[#This Row],[Perc_pop_Northern_Aleppo]]</f>
        <v>0</v>
      </c>
      <c r="AJ199" s="1">
        <f>Table1[[#This Row],[NWS_pin]]*Table1[[#This Row],[Perc_pop_Afrin District]]</f>
        <v>0</v>
      </c>
      <c r="AK199" s="1">
        <f>Table1[[#This Row],[NWS_pin]]*Table1[[#This Row],[Perc_pop_Euphrates Shiled]]</f>
        <v>0</v>
      </c>
      <c r="AL199" s="1">
        <f>Table1[[#This Row],[NWS_pin]]*Table1[[#This Row],[Perc_Pop_Idleb_NSAG]]</f>
        <v>0</v>
      </c>
      <c r="AM199" s="4">
        <v>0.51087415805026304</v>
      </c>
      <c r="AN199" s="4">
        <v>0.48912584194973702</v>
      </c>
      <c r="AO199" s="4">
        <v>0.13059252460353901</v>
      </c>
      <c r="AP199" s="4">
        <v>0.44404969962211599</v>
      </c>
      <c r="AQ199" s="4">
        <v>0.47176709835577701</v>
      </c>
      <c r="AR199" s="4">
        <v>9.2985491814805595E-3</v>
      </c>
      <c r="AS199" s="4">
        <v>2.0039947001967099E-2</v>
      </c>
      <c r="AT199" s="4">
        <v>5.4844705838659302E-2</v>
      </c>
      <c r="AU199" s="4">
        <v>7.4485526938957297E-2</v>
      </c>
      <c r="AV199" s="4">
        <v>8.6865843989094693E-2</v>
      </c>
      <c r="AW199" s="4">
        <v>6.15547359094493E-2</v>
      </c>
      <c r="AX199" s="4">
        <v>0.117115772696787</v>
      </c>
      <c r="AY199" s="4">
        <v>9.8948651963962297E-2</v>
      </c>
      <c r="AZ199" s="4">
        <v>0.136090669773546</v>
      </c>
      <c r="BA199" s="4">
        <v>7.6647976920632799E-2</v>
      </c>
      <c r="BB199" s="4">
        <v>6.8025538904505203E-2</v>
      </c>
      <c r="BC199" s="4">
        <v>8.5653799929841998E-2</v>
      </c>
      <c r="BD199" s="4">
        <v>6.7734757837800502E-2</v>
      </c>
      <c r="BE199" s="4">
        <v>5.4029338033737398E-2</v>
      </c>
      <c r="BF199" s="4">
        <v>8.2049570515078094E-2</v>
      </c>
      <c r="BG199" s="4">
        <v>7.2649099043855803E-2</v>
      </c>
      <c r="BH199" s="4">
        <v>0.106695407793421</v>
      </c>
      <c r="BI199" s="4">
        <v>3.7088967426559399E-2</v>
      </c>
      <c r="BJ199" s="4">
        <v>8.3787048458405095E-2</v>
      </c>
      <c r="BK199" s="4">
        <v>7.3165311849008E-2</v>
      </c>
      <c r="BL199" s="4">
        <v>9.4881066156850505E-2</v>
      </c>
      <c r="BM199" s="4">
        <v>3.4133639263954497E-2</v>
      </c>
      <c r="BN199" s="4">
        <v>4.1843471245806702E-2</v>
      </c>
      <c r="BO199" s="4">
        <v>2.6081000076588701E-2</v>
      </c>
      <c r="BP199" s="4">
        <v>9.4588454702505598E-2</v>
      </c>
      <c r="BQ199" s="4">
        <v>9.1804575019586096E-2</v>
      </c>
      <c r="BR199" s="4">
        <v>9.7496115813715006E-2</v>
      </c>
      <c r="BS199" s="4">
        <v>0.105975964722845</v>
      </c>
      <c r="BT199" s="4">
        <v>0.12377941448634799</v>
      </c>
      <c r="BU199" s="4">
        <v>8.7380908751024805E-2</v>
      </c>
      <c r="BV199" s="4">
        <v>6.74391575645064E-2</v>
      </c>
      <c r="BW199" s="4">
        <v>4.8466532413028798E-2</v>
      </c>
      <c r="BX199" s="4">
        <v>8.7255374719641704E-2</v>
      </c>
      <c r="BY199" s="4">
        <v>7.0240825426275605E-2</v>
      </c>
      <c r="BZ199" s="4">
        <v>6.9820223279750196E-2</v>
      </c>
      <c r="CA199" s="4">
        <v>7.0680129075871706E-2</v>
      </c>
      <c r="CB199" s="4">
        <v>5.3450163154219403E-2</v>
      </c>
      <c r="CC199" s="4">
        <v>4.7024117029970502E-2</v>
      </c>
      <c r="CD199" s="4">
        <v>6.0161934689805401E-2</v>
      </c>
      <c r="CE199" s="4">
        <v>3.1510537024309497E-2</v>
      </c>
      <c r="CF199" s="4">
        <v>4.0411158715570099E-2</v>
      </c>
      <c r="CG199" s="4">
        <v>2.2214161280756199E-2</v>
      </c>
      <c r="CH199" s="4">
        <v>2.2356107205318599E-2</v>
      </c>
      <c r="CI199" s="4">
        <v>1.2161114798517499E-2</v>
      </c>
      <c r="CJ199" s="4">
        <v>3.3004406099917998E-2</v>
      </c>
      <c r="CK199" s="4">
        <v>8.5489563303158198E-3</v>
      </c>
      <c r="CL199" s="4">
        <v>1.21994667821138E-2</v>
      </c>
      <c r="CM199" s="4">
        <v>4.73613089038003E-3</v>
      </c>
      <c r="CN199" s="4">
        <v>8.5338769372243495E-3</v>
      </c>
      <c r="CO199" s="4">
        <v>1.24271938275688E-2</v>
      </c>
      <c r="CP199" s="4">
        <v>4.4674490002968399E-3</v>
      </c>
      <c r="CQ199" s="4">
        <v>1.08021357720862E-2</v>
      </c>
      <c r="CR199" s="4">
        <v>1.23326398680109E-2</v>
      </c>
      <c r="CS199" s="4">
        <v>9.2035798906768794E-3</v>
      </c>
      <c r="CT199" s="1">
        <f>Table1[[#This Row],[Female %]]*Table1[[#This Row],[NWS_pin]]</f>
        <v>0</v>
      </c>
      <c r="CU199" s="1">
        <f>Table1[[#This Row],[Male %]]*Table1[[#This Row],[NWS_pin]]</f>
        <v>0</v>
      </c>
      <c r="CV199" s="1">
        <f>Table1[[#This Row],[Female% (0-2)22]]+Table1[[#This Row],[Male%(0-2)3]]</f>
        <v>0</v>
      </c>
      <c r="CW199" s="1">
        <f>$CT199*Table1[[#This Row],[Female% (0-2)]]</f>
        <v>0</v>
      </c>
      <c r="CX199" s="1">
        <f>$CU199*Table1[[#This Row],[Male%(0-2)]]</f>
        <v>0</v>
      </c>
      <c r="CY199" s="1">
        <f>Table1[[#This Row],[Female%  (3-5)5]]+Table1[[#This Row],[Male% (3-5)6]]</f>
        <v>0</v>
      </c>
      <c r="CZ199" s="1">
        <f>$AF199*Table1[[#This Row],[Female%  (3-5)]]</f>
        <v>0</v>
      </c>
      <c r="DA199" s="1">
        <f>$CU199*Table1[[#This Row],[Male% (3-5)]]</f>
        <v>0</v>
      </c>
      <c r="DB199" s="1">
        <f>Table1[[#This Row],[Female% (6-8)8]]+Table1[[#This Row],[Male%(6-8)9]]</f>
        <v>0</v>
      </c>
      <c r="DC199" s="1">
        <f>$CT199*Table1[[#This Row],[Female% (6-8)]]</f>
        <v>0</v>
      </c>
      <c r="DD199" s="1">
        <f>$CU199*Table1[[#This Row],[Male%(6-8)]]</f>
        <v>0</v>
      </c>
      <c r="DE199" s="1">
        <f>Table1[[#This Row],[Female% (9 - 11)11]]+Table1[[#This Row],[Male% (9 - 11)12]]</f>
        <v>0</v>
      </c>
      <c r="DF199" s="1">
        <f>$CT199*Table1[[#This Row],[Female% (9 - 11)]]</f>
        <v>0</v>
      </c>
      <c r="DG199" s="1">
        <f>$CU199*Table1[[#This Row],[Male% (9 - 11)]]</f>
        <v>0</v>
      </c>
      <c r="DH199" s="1">
        <f>Table1[[#This Row],[Female% (12-14)14]]+Table1[[#This Row],[Male%(12-14)15]]</f>
        <v>0</v>
      </c>
      <c r="DI199" s="1">
        <f>$CT199*Table1[[#This Row],[Female% (12-14)]]</f>
        <v>0</v>
      </c>
      <c r="DJ199" s="1">
        <f>$CU199*Table1[[#This Row],[Male%(12-14)]]</f>
        <v>0</v>
      </c>
      <c r="DK199" s="1">
        <f>Table1[[#This Row],[Female% (15-17)17]]+Table1[[#This Row],[Male%(15-17)18]]</f>
        <v>0</v>
      </c>
      <c r="DL199" s="1">
        <f>$CT199*Table1[[#This Row],[Female% (15-17)]]</f>
        <v>0</v>
      </c>
      <c r="DM199" s="1">
        <f>$CU199*Table1[[#This Row],[Male%(15-17)]]</f>
        <v>0</v>
      </c>
      <c r="DN199" s="1">
        <f>$AF199*Table1[[#This Row],[Total% (18-19)]]</f>
        <v>0</v>
      </c>
      <c r="DO199" s="1">
        <f>$CT199*Table1[[#This Row],[Female% (18-19)]]</f>
        <v>0</v>
      </c>
      <c r="DP199" s="1">
        <f>$CU199*Table1[[#This Row],[Male%(18-19)]]</f>
        <v>0</v>
      </c>
      <c r="DQ199" s="1">
        <f>$AF199*Table1[[#This Row],[Total% (20-24)]]</f>
        <v>0</v>
      </c>
      <c r="DR199" s="1">
        <f>$CT199*Table1[[#This Row],[Female% (20-24)]]</f>
        <v>0</v>
      </c>
      <c r="DS199" s="1">
        <f>$CU199*Table1[[#This Row],[Male% (20-24)]]</f>
        <v>0</v>
      </c>
      <c r="DT199" s="1">
        <f>$AF199*Table1[[#This Row],[Total% (25-29)]]</f>
        <v>0</v>
      </c>
      <c r="DU199" s="1">
        <f>$CT199*Table1[[#This Row],[Female% (25-29)]]</f>
        <v>0</v>
      </c>
      <c r="DV199" s="1">
        <f>$CU199*Table1[[#This Row],[Male% (25-29)]]</f>
        <v>0</v>
      </c>
      <c r="DW199" s="1">
        <f>$AF199*Table1[[#This Row],[Total%   (30-34)]]</f>
        <v>0</v>
      </c>
      <c r="DX199" s="1">
        <f>$CT199*Table1[[#This Row],[Female%   (30-34)]]</f>
        <v>0</v>
      </c>
      <c r="DY199" s="1">
        <f>$CU199*Table1[[#This Row],[Male%  (30-34)]]</f>
        <v>0</v>
      </c>
      <c r="DZ199" s="1">
        <f>$AF199*Table1[[#This Row],[Total% (35-39)]]</f>
        <v>0</v>
      </c>
      <c r="EA199" s="1">
        <f>$CT199*Table1[[#This Row],[Female% (35-39)]]</f>
        <v>0</v>
      </c>
      <c r="EB199" s="1">
        <f>$CU199*Table1[[#This Row],[Male% (35-39)]]</f>
        <v>0</v>
      </c>
      <c r="EC199" s="1">
        <f>$AF199*Table1[[#This Row],[Total% (40-44)]]</f>
        <v>0</v>
      </c>
      <c r="ED199" s="1">
        <f>$CT199*Table1[[#This Row],[Female% (40-44)]]</f>
        <v>0</v>
      </c>
      <c r="EE199" s="1">
        <f>$CU199*Table1[[#This Row],[Male%(55-59)]]</f>
        <v>0</v>
      </c>
      <c r="EF199" s="1">
        <f>$AF199*Table1[[#This Row],[Total% (45-49)]]</f>
        <v>0</v>
      </c>
      <c r="EG199" s="1">
        <f>$CT199*Table1[[#This Row],[Female% (45-49)]]</f>
        <v>0</v>
      </c>
      <c r="EH199" s="1">
        <f>$CU199*Table1[[#This Row],[Male% (45-49)]]</f>
        <v>0</v>
      </c>
      <c r="EI199" s="1">
        <f>$AF199*Table1[[#This Row],[Total% (50-54)]]</f>
        <v>0</v>
      </c>
      <c r="EJ199" s="1">
        <f>$CT199*Table1[[#This Row],[Female%(50-54)]]</f>
        <v>0</v>
      </c>
      <c r="EK199" s="1">
        <f>$CU199*Table1[[#This Row],[Male% (50-54)]]</f>
        <v>0</v>
      </c>
      <c r="EL199" s="1">
        <f>$AF199*Table1[[#This Row],[Total% (55-59)]]</f>
        <v>0</v>
      </c>
      <c r="EM199" s="1">
        <f>$CT199*Table1[[#This Row],[Female% (55-59)]]</f>
        <v>0</v>
      </c>
      <c r="EN199" s="1">
        <f>$CU199*Table1[[#This Row],[Male% (55-59)]]</f>
        <v>0</v>
      </c>
      <c r="EO199" s="1">
        <f>$AF199*Table1[[#This Row],[Total% (60-64)]]</f>
        <v>0</v>
      </c>
      <c r="EP199" s="1">
        <f>$CT199*Table1[[#This Row],[Female%(60-64)]]</f>
        <v>0</v>
      </c>
      <c r="EQ199" s="1">
        <f>$CU199*Table1[[#This Row],[Male%(60-64)]]</f>
        <v>0</v>
      </c>
      <c r="ER199" s="1">
        <f>$AF199*Table1[[#This Row],[Total% (&gt;=65)]]</f>
        <v>0</v>
      </c>
      <c r="ES199" s="1">
        <f>$CT199*Table1[[#This Row],[Female%(&gt;=65)]]</f>
        <v>0</v>
      </c>
      <c r="ET199" s="1">
        <f>$CU199*Table1[[#This Row],[Male% (&gt;=65)]]</f>
        <v>0</v>
      </c>
    </row>
    <row r="200" spans="1:150" hidden="1" x14ac:dyDescent="0.35">
      <c r="A200" t="s">
        <v>157</v>
      </c>
      <c r="B200" t="s">
        <v>158</v>
      </c>
      <c r="C200" t="s">
        <v>159</v>
      </c>
      <c r="D200" t="s">
        <v>160</v>
      </c>
      <c r="E200" t="s">
        <v>159</v>
      </c>
      <c r="F200" t="s">
        <v>433</v>
      </c>
      <c r="H200">
        <v>3</v>
      </c>
      <c r="I200" s="1">
        <v>0</v>
      </c>
      <c r="J200" s="1">
        <v>10897</v>
      </c>
      <c r="K200" s="1">
        <v>72649</v>
      </c>
      <c r="L200" s="1">
        <v>1696</v>
      </c>
      <c r="M200" s="1">
        <v>0</v>
      </c>
      <c r="N200" s="1">
        <v>74345</v>
      </c>
      <c r="O200" s="3">
        <v>1</v>
      </c>
      <c r="P200" s="3">
        <v>0</v>
      </c>
      <c r="Q200" s="3">
        <v>0</v>
      </c>
      <c r="R200" s="3">
        <v>0</v>
      </c>
      <c r="S200" s="3">
        <v>0</v>
      </c>
      <c r="T200" s="1">
        <v>85242</v>
      </c>
      <c r="U200" s="1">
        <v>0</v>
      </c>
      <c r="V200" s="10">
        <f>Table1[[#This Row],[Pop NW+RATAA]]*Table1[[#This Row],[Perc_pop_Northern_Aleppo]]</f>
        <v>0</v>
      </c>
      <c r="W200" s="10">
        <f>Table1[[#This Row],[Pop NW+RATAA]]*Table1[[#This Row],[Perc_pop_Afrin District]]</f>
        <v>0</v>
      </c>
      <c r="X200" s="10">
        <f>Table1[[#This Row],[Pop NW+RATAA]]*Table1[[#This Row],[Perc_pop_Euphrates Shiled]]</f>
        <v>0</v>
      </c>
      <c r="Y200" s="10">
        <f>Table1[[#This Row],[Pop NW+RATAA]]*Table1[[#This Row],[Perc_Pop_Idleb_NSAG]]</f>
        <v>0</v>
      </c>
      <c r="Z200" s="3">
        <v>0</v>
      </c>
      <c r="AA200" s="3">
        <v>0</v>
      </c>
      <c r="AB200" s="3">
        <v>0</v>
      </c>
      <c r="AC200" s="3">
        <v>0</v>
      </c>
      <c r="AD200" s="1">
        <v>74345</v>
      </c>
      <c r="AE200" s="1">
        <v>0</v>
      </c>
      <c r="AF200" s="1">
        <v>0</v>
      </c>
      <c r="AG200" s="1">
        <v>0</v>
      </c>
      <c r="AH200" s="1">
        <v>0</v>
      </c>
      <c r="AI200" s="1">
        <f>Table1[[#This Row],[NWS_pin]]*Table1[[#This Row],[Perc_pop_Northern_Aleppo]]</f>
        <v>0</v>
      </c>
      <c r="AJ200" s="1">
        <f>Table1[[#This Row],[NWS_pin]]*Table1[[#This Row],[Perc_pop_Afrin District]]</f>
        <v>0</v>
      </c>
      <c r="AK200" s="1">
        <f>Table1[[#This Row],[NWS_pin]]*Table1[[#This Row],[Perc_pop_Euphrates Shiled]]</f>
        <v>0</v>
      </c>
      <c r="AL200" s="1">
        <f>Table1[[#This Row],[NWS_pin]]*Table1[[#This Row],[Perc_Pop_Idleb_NSAG]]</f>
        <v>0</v>
      </c>
      <c r="AM200" s="4">
        <v>0.51226927576900605</v>
      </c>
      <c r="AN200" s="4">
        <v>0.48773072423099401</v>
      </c>
      <c r="AO200" s="4">
        <v>5.9222939491997799E-2</v>
      </c>
      <c r="AP200" s="4">
        <v>0.38032108362404599</v>
      </c>
      <c r="AQ200" s="4">
        <v>0.56573829529182695</v>
      </c>
      <c r="AR200" s="4">
        <v>2.58194738759728E-2</v>
      </c>
      <c r="AS200" s="4">
        <v>0</v>
      </c>
      <c r="AT200" s="4">
        <v>2.8121147208153899E-2</v>
      </c>
      <c r="AU200" s="4">
        <v>0.105861969656351</v>
      </c>
      <c r="AV200" s="4">
        <v>0.101954731618751</v>
      </c>
      <c r="AW200" s="4">
        <v>0.10996578739909001</v>
      </c>
      <c r="AX200" s="4">
        <v>0.194851856205048</v>
      </c>
      <c r="AY200" s="4">
        <v>0.19991781205276399</v>
      </c>
      <c r="AZ200" s="4">
        <v>0.189531023613911</v>
      </c>
      <c r="BA200" s="4">
        <v>0.120436158555654</v>
      </c>
      <c r="BB200" s="4">
        <v>0.102731018966987</v>
      </c>
      <c r="BC200" s="4">
        <v>0.139032073440401</v>
      </c>
      <c r="BD200" s="4">
        <v>9.3669929075503297E-2</v>
      </c>
      <c r="BE200" s="4">
        <v>7.7143199706048896E-2</v>
      </c>
      <c r="BF200" s="4">
        <v>0.11102814594459499</v>
      </c>
      <c r="BG200" s="4">
        <v>4.6104206420137898E-2</v>
      </c>
      <c r="BH200" s="4">
        <v>4.1741065681984497E-2</v>
      </c>
      <c r="BI200" s="4">
        <v>5.0686864093664998E-2</v>
      </c>
      <c r="BJ200" s="4">
        <v>2.7321990512829401E-2</v>
      </c>
      <c r="BK200" s="4">
        <v>3.4475109853179801E-2</v>
      </c>
      <c r="BL200" s="4">
        <v>1.9808985729814901E-2</v>
      </c>
      <c r="BM200" s="4">
        <v>1.19087601248919E-2</v>
      </c>
      <c r="BN200" s="4">
        <v>1.6353503071580299E-2</v>
      </c>
      <c r="BO200" s="4">
        <v>7.2403946987247697E-3</v>
      </c>
      <c r="BP200" s="4">
        <v>2.1165540758775699E-2</v>
      </c>
      <c r="BQ200" s="4">
        <v>3.0976865262440999E-2</v>
      </c>
      <c r="BR200" s="4">
        <v>1.0860592048087101E-2</v>
      </c>
      <c r="BS200" s="4">
        <v>5.2883982892965399E-2</v>
      </c>
      <c r="BT200" s="4">
        <v>8.9282410933377507E-2</v>
      </c>
      <c r="BU200" s="4">
        <v>1.46542888321882E-2</v>
      </c>
      <c r="BV200" s="4">
        <v>7.6546003226549794E-2</v>
      </c>
      <c r="BW200" s="4">
        <v>8.83985880605129E-2</v>
      </c>
      <c r="BX200" s="4">
        <v>6.4097094951479999E-2</v>
      </c>
      <c r="BY200" s="4">
        <v>9.8595551848307803E-2</v>
      </c>
      <c r="BZ200" s="4">
        <v>0.102551995101917</v>
      </c>
      <c r="CA200" s="4">
        <v>9.4440053292535797E-2</v>
      </c>
      <c r="CB200" s="4">
        <v>4.30409742543773E-2</v>
      </c>
      <c r="CC200" s="4">
        <v>2.6341550433168201E-2</v>
      </c>
      <c r="CD200" s="4">
        <v>6.0580574123010898E-2</v>
      </c>
      <c r="CE200" s="4">
        <v>3.5622580837414999E-2</v>
      </c>
      <c r="CF200" s="4">
        <v>1.24548289677266E-2</v>
      </c>
      <c r="CG200" s="4">
        <v>5.9955941197670899E-2</v>
      </c>
      <c r="CH200" s="4">
        <v>2.12481697128395E-2</v>
      </c>
      <c r="CI200" s="4">
        <v>1.96599249005136E-2</v>
      </c>
      <c r="CJ200" s="4">
        <v>2.29163217880177E-2</v>
      </c>
      <c r="CK200" s="4">
        <v>1.6015101401514301E-2</v>
      </c>
      <c r="CL200" s="4">
        <v>1.3908134452393001E-2</v>
      </c>
      <c r="CM200" s="4">
        <v>1.8228073395020299E-2</v>
      </c>
      <c r="CN200" s="4">
        <v>9.9738366399107596E-3</v>
      </c>
      <c r="CO200" s="4">
        <v>1.2620531696081501E-2</v>
      </c>
      <c r="CP200" s="4">
        <v>7.19398191219448E-3</v>
      </c>
      <c r="CQ200" s="4">
        <v>2.4753387876929399E-2</v>
      </c>
      <c r="CR200" s="4">
        <v>2.94887292405734E-2</v>
      </c>
      <c r="CS200" s="4">
        <v>1.9779803539593101E-2</v>
      </c>
      <c r="CT200" s="1">
        <f>Table1[[#This Row],[Female %]]*Table1[[#This Row],[NWS_pin]]</f>
        <v>0</v>
      </c>
      <c r="CU200" s="1">
        <f>Table1[[#This Row],[Male %]]*Table1[[#This Row],[NWS_pin]]</f>
        <v>0</v>
      </c>
      <c r="CV200" s="1">
        <f>Table1[[#This Row],[Female% (0-2)22]]+Table1[[#This Row],[Male%(0-2)3]]</f>
        <v>0</v>
      </c>
      <c r="CW200" s="1">
        <f>$CT200*Table1[[#This Row],[Female% (0-2)]]</f>
        <v>0</v>
      </c>
      <c r="CX200" s="1">
        <f>$CU200*Table1[[#This Row],[Male%(0-2)]]</f>
        <v>0</v>
      </c>
      <c r="CY200" s="1">
        <f>Table1[[#This Row],[Female%  (3-5)5]]+Table1[[#This Row],[Male% (3-5)6]]</f>
        <v>0</v>
      </c>
      <c r="CZ200" s="1">
        <f>$AF200*Table1[[#This Row],[Female%  (3-5)]]</f>
        <v>0</v>
      </c>
      <c r="DA200" s="1">
        <f>$CU200*Table1[[#This Row],[Male% (3-5)]]</f>
        <v>0</v>
      </c>
      <c r="DB200" s="1">
        <f>Table1[[#This Row],[Female% (6-8)8]]+Table1[[#This Row],[Male%(6-8)9]]</f>
        <v>0</v>
      </c>
      <c r="DC200" s="1">
        <f>$CT200*Table1[[#This Row],[Female% (6-8)]]</f>
        <v>0</v>
      </c>
      <c r="DD200" s="1">
        <f>$CU200*Table1[[#This Row],[Male%(6-8)]]</f>
        <v>0</v>
      </c>
      <c r="DE200" s="1">
        <f>Table1[[#This Row],[Female% (9 - 11)11]]+Table1[[#This Row],[Male% (9 - 11)12]]</f>
        <v>0</v>
      </c>
      <c r="DF200" s="1">
        <f>$CT200*Table1[[#This Row],[Female% (9 - 11)]]</f>
        <v>0</v>
      </c>
      <c r="DG200" s="1">
        <f>$CU200*Table1[[#This Row],[Male% (9 - 11)]]</f>
        <v>0</v>
      </c>
      <c r="DH200" s="1">
        <f>Table1[[#This Row],[Female% (12-14)14]]+Table1[[#This Row],[Male%(12-14)15]]</f>
        <v>0</v>
      </c>
      <c r="DI200" s="1">
        <f>$CT200*Table1[[#This Row],[Female% (12-14)]]</f>
        <v>0</v>
      </c>
      <c r="DJ200" s="1">
        <f>$CU200*Table1[[#This Row],[Male%(12-14)]]</f>
        <v>0</v>
      </c>
      <c r="DK200" s="1">
        <f>Table1[[#This Row],[Female% (15-17)17]]+Table1[[#This Row],[Male%(15-17)18]]</f>
        <v>0</v>
      </c>
      <c r="DL200" s="1">
        <f>$CT200*Table1[[#This Row],[Female% (15-17)]]</f>
        <v>0</v>
      </c>
      <c r="DM200" s="1">
        <f>$CU200*Table1[[#This Row],[Male%(15-17)]]</f>
        <v>0</v>
      </c>
      <c r="DN200" s="1">
        <f>$AF200*Table1[[#This Row],[Total% (18-19)]]</f>
        <v>0</v>
      </c>
      <c r="DO200" s="1">
        <f>$CT200*Table1[[#This Row],[Female% (18-19)]]</f>
        <v>0</v>
      </c>
      <c r="DP200" s="1">
        <f>$CU200*Table1[[#This Row],[Male%(18-19)]]</f>
        <v>0</v>
      </c>
      <c r="DQ200" s="1">
        <f>$AF200*Table1[[#This Row],[Total% (20-24)]]</f>
        <v>0</v>
      </c>
      <c r="DR200" s="1">
        <f>$CT200*Table1[[#This Row],[Female% (20-24)]]</f>
        <v>0</v>
      </c>
      <c r="DS200" s="1">
        <f>$CU200*Table1[[#This Row],[Male% (20-24)]]</f>
        <v>0</v>
      </c>
      <c r="DT200" s="1">
        <f>$AF200*Table1[[#This Row],[Total% (25-29)]]</f>
        <v>0</v>
      </c>
      <c r="DU200" s="1">
        <f>$CT200*Table1[[#This Row],[Female% (25-29)]]</f>
        <v>0</v>
      </c>
      <c r="DV200" s="1">
        <f>$CU200*Table1[[#This Row],[Male% (25-29)]]</f>
        <v>0</v>
      </c>
      <c r="DW200" s="1">
        <f>$AF200*Table1[[#This Row],[Total%   (30-34)]]</f>
        <v>0</v>
      </c>
      <c r="DX200" s="1">
        <f>$CT200*Table1[[#This Row],[Female%   (30-34)]]</f>
        <v>0</v>
      </c>
      <c r="DY200" s="1">
        <f>$CU200*Table1[[#This Row],[Male%  (30-34)]]</f>
        <v>0</v>
      </c>
      <c r="DZ200" s="1">
        <f>$AF200*Table1[[#This Row],[Total% (35-39)]]</f>
        <v>0</v>
      </c>
      <c r="EA200" s="1">
        <f>$CT200*Table1[[#This Row],[Female% (35-39)]]</f>
        <v>0</v>
      </c>
      <c r="EB200" s="1">
        <f>$CU200*Table1[[#This Row],[Male% (35-39)]]</f>
        <v>0</v>
      </c>
      <c r="EC200" s="1">
        <f>$AF200*Table1[[#This Row],[Total% (40-44)]]</f>
        <v>0</v>
      </c>
      <c r="ED200" s="1">
        <f>$CT200*Table1[[#This Row],[Female% (40-44)]]</f>
        <v>0</v>
      </c>
      <c r="EE200" s="1">
        <f>$CU200*Table1[[#This Row],[Male%(55-59)]]</f>
        <v>0</v>
      </c>
      <c r="EF200" s="1">
        <f>$AF200*Table1[[#This Row],[Total% (45-49)]]</f>
        <v>0</v>
      </c>
      <c r="EG200" s="1">
        <f>$CT200*Table1[[#This Row],[Female% (45-49)]]</f>
        <v>0</v>
      </c>
      <c r="EH200" s="1">
        <f>$CU200*Table1[[#This Row],[Male% (45-49)]]</f>
        <v>0</v>
      </c>
      <c r="EI200" s="1">
        <f>$AF200*Table1[[#This Row],[Total% (50-54)]]</f>
        <v>0</v>
      </c>
      <c r="EJ200" s="1">
        <f>$CT200*Table1[[#This Row],[Female%(50-54)]]</f>
        <v>0</v>
      </c>
      <c r="EK200" s="1">
        <f>$CU200*Table1[[#This Row],[Male% (50-54)]]</f>
        <v>0</v>
      </c>
      <c r="EL200" s="1">
        <f>$AF200*Table1[[#This Row],[Total% (55-59)]]</f>
        <v>0</v>
      </c>
      <c r="EM200" s="1">
        <f>$CT200*Table1[[#This Row],[Female% (55-59)]]</f>
        <v>0</v>
      </c>
      <c r="EN200" s="1">
        <f>$CU200*Table1[[#This Row],[Male% (55-59)]]</f>
        <v>0</v>
      </c>
      <c r="EO200" s="1">
        <f>$AF200*Table1[[#This Row],[Total% (60-64)]]</f>
        <v>0</v>
      </c>
      <c r="EP200" s="1">
        <f>$CT200*Table1[[#This Row],[Female%(60-64)]]</f>
        <v>0</v>
      </c>
      <c r="EQ200" s="1">
        <f>$CU200*Table1[[#This Row],[Male%(60-64)]]</f>
        <v>0</v>
      </c>
      <c r="ER200" s="1">
        <f>$AF200*Table1[[#This Row],[Total% (&gt;=65)]]</f>
        <v>0</v>
      </c>
      <c r="ES200" s="1">
        <f>$CT200*Table1[[#This Row],[Female%(&gt;=65)]]</f>
        <v>0</v>
      </c>
      <c r="ET200" s="1">
        <f>$CU200*Table1[[#This Row],[Male% (&gt;=65)]]</f>
        <v>0</v>
      </c>
    </row>
    <row r="201" spans="1:150" hidden="1" x14ac:dyDescent="0.35">
      <c r="A201" t="s">
        <v>157</v>
      </c>
      <c r="B201" t="s">
        <v>158</v>
      </c>
      <c r="C201" t="s">
        <v>159</v>
      </c>
      <c r="D201" t="s">
        <v>160</v>
      </c>
      <c r="E201" t="s">
        <v>450</v>
      </c>
      <c r="F201" t="s">
        <v>451</v>
      </c>
      <c r="H201">
        <v>4</v>
      </c>
      <c r="I201" s="1">
        <v>0</v>
      </c>
      <c r="J201" s="1">
        <v>0</v>
      </c>
      <c r="K201" s="1">
        <v>29410</v>
      </c>
      <c r="L201" s="1">
        <v>20394</v>
      </c>
      <c r="M201" s="1">
        <v>0</v>
      </c>
      <c r="N201" s="1">
        <v>49804</v>
      </c>
      <c r="O201" s="3">
        <v>0</v>
      </c>
      <c r="P201" s="3">
        <v>1</v>
      </c>
      <c r="Q201" s="3">
        <v>0</v>
      </c>
      <c r="R201" s="3">
        <v>0</v>
      </c>
      <c r="S201" s="3">
        <v>0</v>
      </c>
      <c r="T201" s="1">
        <v>49804</v>
      </c>
      <c r="U201" s="1">
        <v>0</v>
      </c>
      <c r="V201" s="10">
        <f>Table1[[#This Row],[Pop NW+RATAA]]*Table1[[#This Row],[Perc_pop_Northern_Aleppo]]</f>
        <v>0</v>
      </c>
      <c r="W201" s="10">
        <f>Table1[[#This Row],[Pop NW+RATAA]]*Table1[[#This Row],[Perc_pop_Afrin District]]</f>
        <v>0</v>
      </c>
      <c r="X201" s="10">
        <f>Table1[[#This Row],[Pop NW+RATAA]]*Table1[[#This Row],[Perc_pop_Euphrates Shiled]]</f>
        <v>0</v>
      </c>
      <c r="Y201" s="10">
        <f>Table1[[#This Row],[Pop NW+RATAA]]*Table1[[#This Row],[Perc_Pop_Idleb_NSAG]]</f>
        <v>0</v>
      </c>
      <c r="Z201" s="3">
        <v>0</v>
      </c>
      <c r="AA201" s="3">
        <v>0</v>
      </c>
      <c r="AB201" s="3">
        <v>0</v>
      </c>
      <c r="AC201" s="3">
        <v>0</v>
      </c>
      <c r="AD201" s="1">
        <v>0</v>
      </c>
      <c r="AE201" s="1">
        <v>49804</v>
      </c>
      <c r="AF201" s="1">
        <v>0</v>
      </c>
      <c r="AG201" s="1">
        <v>0</v>
      </c>
      <c r="AH201" s="1">
        <v>0</v>
      </c>
      <c r="AI201" s="1">
        <f>Table1[[#This Row],[NWS_pin]]*Table1[[#This Row],[Perc_pop_Northern_Aleppo]]</f>
        <v>0</v>
      </c>
      <c r="AJ201" s="1">
        <f>Table1[[#This Row],[NWS_pin]]*Table1[[#This Row],[Perc_pop_Afrin District]]</f>
        <v>0</v>
      </c>
      <c r="AK201" s="1">
        <f>Table1[[#This Row],[NWS_pin]]*Table1[[#This Row],[Perc_pop_Euphrates Shiled]]</f>
        <v>0</v>
      </c>
      <c r="AL201" s="1">
        <f>Table1[[#This Row],[NWS_pin]]*Table1[[#This Row],[Perc_Pop_Idleb_NSAG]]</f>
        <v>0</v>
      </c>
      <c r="AM201" s="4">
        <v>0.49894114811191798</v>
      </c>
      <c r="AN201" s="4">
        <v>0.50105885188808197</v>
      </c>
      <c r="AO201" s="4">
        <v>6.3552025316731195E-2</v>
      </c>
      <c r="AP201" s="4">
        <v>0.50003774055900596</v>
      </c>
      <c r="AQ201" s="4">
        <v>0.48153329685358798</v>
      </c>
      <c r="AR201" s="4">
        <v>4.9697375815716599E-3</v>
      </c>
      <c r="AS201" s="4">
        <v>0</v>
      </c>
      <c r="AT201" s="4">
        <v>1.3459225005833899E-2</v>
      </c>
      <c r="AU201" s="4">
        <v>7.7664978426859904E-2</v>
      </c>
      <c r="AV201" s="4">
        <v>8.3250358774528702E-2</v>
      </c>
      <c r="AW201" s="4">
        <v>7.2103204449997599E-2</v>
      </c>
      <c r="AX201" s="4">
        <v>0.16805969192856901</v>
      </c>
      <c r="AY201" s="4">
        <v>0.16073703694337399</v>
      </c>
      <c r="AZ201" s="4">
        <v>0.17535139802611299</v>
      </c>
      <c r="BA201" s="4">
        <v>0.122783681433556</v>
      </c>
      <c r="BB201" s="4">
        <v>0.104619006393427</v>
      </c>
      <c r="BC201" s="4">
        <v>0.140871584252658</v>
      </c>
      <c r="BD201" s="4">
        <v>0.101964441830752</v>
      </c>
      <c r="BE201" s="4">
        <v>9.0514017910075698E-2</v>
      </c>
      <c r="BF201" s="4">
        <v>0.113366471025172</v>
      </c>
      <c r="BG201" s="4">
        <v>7.7597548369080602E-2</v>
      </c>
      <c r="BH201" s="4">
        <v>9.1407101161733506E-2</v>
      </c>
      <c r="BI201" s="4">
        <v>6.3846361059815504E-2</v>
      </c>
      <c r="BJ201" s="4">
        <v>5.5831503206393199E-2</v>
      </c>
      <c r="BK201" s="4">
        <v>4.72291721824376E-2</v>
      </c>
      <c r="BL201" s="4">
        <v>6.4397476846730903E-2</v>
      </c>
      <c r="BM201" s="4">
        <v>3.1522399027201498E-2</v>
      </c>
      <c r="BN201" s="4">
        <v>4.02544688335938E-2</v>
      </c>
      <c r="BO201" s="4">
        <v>2.2827234939834101E-2</v>
      </c>
      <c r="BP201" s="4">
        <v>5.3057436882829399E-2</v>
      </c>
      <c r="BQ201" s="4">
        <v>6.99039600135586E-2</v>
      </c>
      <c r="BR201" s="4">
        <v>3.6282114860542197E-2</v>
      </c>
      <c r="BS201" s="4">
        <v>5.1609532484639599E-2</v>
      </c>
      <c r="BT201" s="4">
        <v>5.6495285454437702E-2</v>
      </c>
      <c r="BU201" s="4">
        <v>4.6744428940501903E-2</v>
      </c>
      <c r="BV201" s="4">
        <v>6.4235516857874306E-2</v>
      </c>
      <c r="BW201" s="4">
        <v>8.2200179273353199E-2</v>
      </c>
      <c r="BX201" s="4">
        <v>4.6346781318632499E-2</v>
      </c>
      <c r="BY201" s="4">
        <v>6.5777563752566104E-2</v>
      </c>
      <c r="BZ201" s="4">
        <v>6.5995921940511806E-2</v>
      </c>
      <c r="CA201" s="4">
        <v>6.5560128446149099E-2</v>
      </c>
      <c r="CB201" s="4">
        <v>4.4050887803200801E-2</v>
      </c>
      <c r="CC201" s="4">
        <v>3.5425418053712097E-2</v>
      </c>
      <c r="CD201" s="4">
        <v>5.2639902374239197E-2</v>
      </c>
      <c r="CE201" s="4">
        <v>2.3460579158046301E-2</v>
      </c>
      <c r="CF201" s="4">
        <v>1.67425219397833E-2</v>
      </c>
      <c r="CG201" s="4">
        <v>3.0150242795223998E-2</v>
      </c>
      <c r="CH201" s="4">
        <v>2.41616654574822E-2</v>
      </c>
      <c r="CI201" s="4">
        <v>2.5088787728215801E-2</v>
      </c>
      <c r="CJ201" s="4">
        <v>2.32384616293153E-2</v>
      </c>
      <c r="CK201" s="4">
        <v>1.56023115569683E-2</v>
      </c>
      <c r="CL201" s="4">
        <v>1.8036925057134799E-2</v>
      </c>
      <c r="CM201" s="4">
        <v>1.3177987846481E-2</v>
      </c>
      <c r="CN201" s="4">
        <v>1.2846158836156999E-2</v>
      </c>
      <c r="CO201" s="4">
        <v>1.0032595178863599E-2</v>
      </c>
      <c r="CP201" s="4">
        <v>1.5647831087163399E-2</v>
      </c>
      <c r="CQ201" s="4">
        <v>9.7741029878231495E-3</v>
      </c>
      <c r="CR201" s="4">
        <v>2.0672431612589501E-3</v>
      </c>
      <c r="CS201" s="4">
        <v>1.74483901014304E-2</v>
      </c>
      <c r="CT201" s="1">
        <f>Table1[[#This Row],[Female %]]*Table1[[#This Row],[NWS_pin]]</f>
        <v>0</v>
      </c>
      <c r="CU201" s="1">
        <f>Table1[[#This Row],[Male %]]*Table1[[#This Row],[NWS_pin]]</f>
        <v>0</v>
      </c>
      <c r="CV201" s="1">
        <f>Table1[[#This Row],[Female% (0-2)22]]+Table1[[#This Row],[Male%(0-2)3]]</f>
        <v>0</v>
      </c>
      <c r="CW201" s="1">
        <f>$CT201*Table1[[#This Row],[Female% (0-2)]]</f>
        <v>0</v>
      </c>
      <c r="CX201" s="1">
        <f>$CU201*Table1[[#This Row],[Male%(0-2)]]</f>
        <v>0</v>
      </c>
      <c r="CY201" s="1">
        <f>Table1[[#This Row],[Female%  (3-5)5]]+Table1[[#This Row],[Male% (3-5)6]]</f>
        <v>0</v>
      </c>
      <c r="CZ201" s="1">
        <f>$AF201*Table1[[#This Row],[Female%  (3-5)]]</f>
        <v>0</v>
      </c>
      <c r="DA201" s="1">
        <f>$CU201*Table1[[#This Row],[Male% (3-5)]]</f>
        <v>0</v>
      </c>
      <c r="DB201" s="1">
        <f>Table1[[#This Row],[Female% (6-8)8]]+Table1[[#This Row],[Male%(6-8)9]]</f>
        <v>0</v>
      </c>
      <c r="DC201" s="1">
        <f>$CT201*Table1[[#This Row],[Female% (6-8)]]</f>
        <v>0</v>
      </c>
      <c r="DD201" s="1">
        <f>$CU201*Table1[[#This Row],[Male%(6-8)]]</f>
        <v>0</v>
      </c>
      <c r="DE201" s="1">
        <f>Table1[[#This Row],[Female% (9 - 11)11]]+Table1[[#This Row],[Male% (9 - 11)12]]</f>
        <v>0</v>
      </c>
      <c r="DF201" s="1">
        <f>$CT201*Table1[[#This Row],[Female% (9 - 11)]]</f>
        <v>0</v>
      </c>
      <c r="DG201" s="1">
        <f>$CU201*Table1[[#This Row],[Male% (9 - 11)]]</f>
        <v>0</v>
      </c>
      <c r="DH201" s="1">
        <f>Table1[[#This Row],[Female% (12-14)14]]+Table1[[#This Row],[Male%(12-14)15]]</f>
        <v>0</v>
      </c>
      <c r="DI201" s="1">
        <f>$CT201*Table1[[#This Row],[Female% (12-14)]]</f>
        <v>0</v>
      </c>
      <c r="DJ201" s="1">
        <f>$CU201*Table1[[#This Row],[Male%(12-14)]]</f>
        <v>0</v>
      </c>
      <c r="DK201" s="1">
        <f>Table1[[#This Row],[Female% (15-17)17]]+Table1[[#This Row],[Male%(15-17)18]]</f>
        <v>0</v>
      </c>
      <c r="DL201" s="1">
        <f>$CT201*Table1[[#This Row],[Female% (15-17)]]</f>
        <v>0</v>
      </c>
      <c r="DM201" s="1">
        <f>$CU201*Table1[[#This Row],[Male%(15-17)]]</f>
        <v>0</v>
      </c>
      <c r="DN201" s="1">
        <f>$AF201*Table1[[#This Row],[Total% (18-19)]]</f>
        <v>0</v>
      </c>
      <c r="DO201" s="1">
        <f>$CT201*Table1[[#This Row],[Female% (18-19)]]</f>
        <v>0</v>
      </c>
      <c r="DP201" s="1">
        <f>$CU201*Table1[[#This Row],[Male%(18-19)]]</f>
        <v>0</v>
      </c>
      <c r="DQ201" s="1">
        <f>$AF201*Table1[[#This Row],[Total% (20-24)]]</f>
        <v>0</v>
      </c>
      <c r="DR201" s="1">
        <f>$CT201*Table1[[#This Row],[Female% (20-24)]]</f>
        <v>0</v>
      </c>
      <c r="DS201" s="1">
        <f>$CU201*Table1[[#This Row],[Male% (20-24)]]</f>
        <v>0</v>
      </c>
      <c r="DT201" s="1">
        <f>$AF201*Table1[[#This Row],[Total% (25-29)]]</f>
        <v>0</v>
      </c>
      <c r="DU201" s="1">
        <f>$CT201*Table1[[#This Row],[Female% (25-29)]]</f>
        <v>0</v>
      </c>
      <c r="DV201" s="1">
        <f>$CU201*Table1[[#This Row],[Male% (25-29)]]</f>
        <v>0</v>
      </c>
      <c r="DW201" s="1">
        <f>$AF201*Table1[[#This Row],[Total%   (30-34)]]</f>
        <v>0</v>
      </c>
      <c r="DX201" s="1">
        <f>$CT201*Table1[[#This Row],[Female%   (30-34)]]</f>
        <v>0</v>
      </c>
      <c r="DY201" s="1">
        <f>$CU201*Table1[[#This Row],[Male%  (30-34)]]</f>
        <v>0</v>
      </c>
      <c r="DZ201" s="1">
        <f>$AF201*Table1[[#This Row],[Total% (35-39)]]</f>
        <v>0</v>
      </c>
      <c r="EA201" s="1">
        <f>$CT201*Table1[[#This Row],[Female% (35-39)]]</f>
        <v>0</v>
      </c>
      <c r="EB201" s="1">
        <f>$CU201*Table1[[#This Row],[Male% (35-39)]]</f>
        <v>0</v>
      </c>
      <c r="EC201" s="1">
        <f>$AF201*Table1[[#This Row],[Total% (40-44)]]</f>
        <v>0</v>
      </c>
      <c r="ED201" s="1">
        <f>$CT201*Table1[[#This Row],[Female% (40-44)]]</f>
        <v>0</v>
      </c>
      <c r="EE201" s="1">
        <f>$CU201*Table1[[#This Row],[Male%(55-59)]]</f>
        <v>0</v>
      </c>
      <c r="EF201" s="1">
        <f>$AF201*Table1[[#This Row],[Total% (45-49)]]</f>
        <v>0</v>
      </c>
      <c r="EG201" s="1">
        <f>$CT201*Table1[[#This Row],[Female% (45-49)]]</f>
        <v>0</v>
      </c>
      <c r="EH201" s="1">
        <f>$CU201*Table1[[#This Row],[Male% (45-49)]]</f>
        <v>0</v>
      </c>
      <c r="EI201" s="1">
        <f>$AF201*Table1[[#This Row],[Total% (50-54)]]</f>
        <v>0</v>
      </c>
      <c r="EJ201" s="1">
        <f>$CT201*Table1[[#This Row],[Female%(50-54)]]</f>
        <v>0</v>
      </c>
      <c r="EK201" s="1">
        <f>$CU201*Table1[[#This Row],[Male% (50-54)]]</f>
        <v>0</v>
      </c>
      <c r="EL201" s="1">
        <f>$AF201*Table1[[#This Row],[Total% (55-59)]]</f>
        <v>0</v>
      </c>
      <c r="EM201" s="1">
        <f>$CT201*Table1[[#This Row],[Female% (55-59)]]</f>
        <v>0</v>
      </c>
      <c r="EN201" s="1">
        <f>$CU201*Table1[[#This Row],[Male% (55-59)]]</f>
        <v>0</v>
      </c>
      <c r="EO201" s="1">
        <f>$AF201*Table1[[#This Row],[Total% (60-64)]]</f>
        <v>0</v>
      </c>
      <c r="EP201" s="1">
        <f>$CT201*Table1[[#This Row],[Female%(60-64)]]</f>
        <v>0</v>
      </c>
      <c r="EQ201" s="1">
        <f>$CU201*Table1[[#This Row],[Male%(60-64)]]</f>
        <v>0</v>
      </c>
      <c r="ER201" s="1">
        <f>$AF201*Table1[[#This Row],[Total% (&gt;=65)]]</f>
        <v>0</v>
      </c>
      <c r="ES201" s="1">
        <f>$CT201*Table1[[#This Row],[Female%(&gt;=65)]]</f>
        <v>0</v>
      </c>
      <c r="ET201" s="1">
        <f>$CU201*Table1[[#This Row],[Male% (&gt;=65)]]</f>
        <v>0</v>
      </c>
    </row>
    <row r="202" spans="1:150" hidden="1" x14ac:dyDescent="0.35">
      <c r="A202" t="s">
        <v>157</v>
      </c>
      <c r="B202" t="s">
        <v>158</v>
      </c>
      <c r="C202" t="s">
        <v>159</v>
      </c>
      <c r="D202" t="s">
        <v>160</v>
      </c>
      <c r="E202" t="s">
        <v>161</v>
      </c>
      <c r="F202" t="s">
        <v>162</v>
      </c>
      <c r="H202">
        <v>3</v>
      </c>
      <c r="I202" s="1">
        <v>0</v>
      </c>
      <c r="J202" s="1">
        <v>67224</v>
      </c>
      <c r="K202" s="1">
        <v>83199</v>
      </c>
      <c r="L202" s="1">
        <v>0</v>
      </c>
      <c r="M202" s="1">
        <v>0</v>
      </c>
      <c r="N202" s="1">
        <v>83199</v>
      </c>
      <c r="O202" s="3">
        <v>1</v>
      </c>
      <c r="P202" s="3">
        <v>0</v>
      </c>
      <c r="Q202" s="3">
        <v>0</v>
      </c>
      <c r="R202" s="3">
        <v>0</v>
      </c>
      <c r="S202" s="3">
        <v>0</v>
      </c>
      <c r="T202" s="1">
        <v>150423</v>
      </c>
      <c r="U202" s="1">
        <v>0</v>
      </c>
      <c r="V202" s="10">
        <f>Table1[[#This Row],[Pop NW+RATAA]]*Table1[[#This Row],[Perc_pop_Northern_Aleppo]]</f>
        <v>0</v>
      </c>
      <c r="W202" s="10">
        <f>Table1[[#This Row],[Pop NW+RATAA]]*Table1[[#This Row],[Perc_pop_Afrin District]]</f>
        <v>0</v>
      </c>
      <c r="X202" s="10">
        <f>Table1[[#This Row],[Pop NW+RATAA]]*Table1[[#This Row],[Perc_pop_Euphrates Shiled]]</f>
        <v>0</v>
      </c>
      <c r="Y202" s="10">
        <f>Table1[[#This Row],[Pop NW+RATAA]]*Table1[[#This Row],[Perc_Pop_Idleb_NSAG]]</f>
        <v>0</v>
      </c>
      <c r="Z202" s="3">
        <v>0</v>
      </c>
      <c r="AA202" s="3">
        <v>0</v>
      </c>
      <c r="AB202" s="3">
        <v>0</v>
      </c>
      <c r="AC202" s="3">
        <v>0</v>
      </c>
      <c r="AD202" s="1">
        <v>83199</v>
      </c>
      <c r="AE202" s="1">
        <v>0</v>
      </c>
      <c r="AF202" s="1">
        <v>0</v>
      </c>
      <c r="AG202" s="1">
        <v>0</v>
      </c>
      <c r="AH202" s="1">
        <v>0</v>
      </c>
      <c r="AI202" s="1">
        <f>Table1[[#This Row],[NWS_pin]]*Table1[[#This Row],[Perc_pop_Northern_Aleppo]]</f>
        <v>0</v>
      </c>
      <c r="AJ202" s="1">
        <f>Table1[[#This Row],[NWS_pin]]*Table1[[#This Row],[Perc_pop_Afrin District]]</f>
        <v>0</v>
      </c>
      <c r="AK202" s="1">
        <f>Table1[[#This Row],[NWS_pin]]*Table1[[#This Row],[Perc_pop_Euphrates Shiled]]</f>
        <v>0</v>
      </c>
      <c r="AL202" s="1">
        <f>Table1[[#This Row],[NWS_pin]]*Table1[[#This Row],[Perc_Pop_Idleb_NSAG]]</f>
        <v>0</v>
      </c>
      <c r="AM202" s="4">
        <v>0.49686284230850403</v>
      </c>
      <c r="AN202" s="4">
        <v>0.50313715769149603</v>
      </c>
      <c r="AO202" s="4">
        <v>2.0358048162230701E-2</v>
      </c>
      <c r="AP202" s="4">
        <v>0.36862562822400202</v>
      </c>
      <c r="AQ202" s="4">
        <v>0.60262688428848199</v>
      </c>
      <c r="AR202" s="4">
        <v>0</v>
      </c>
      <c r="AS202" s="4">
        <v>0</v>
      </c>
      <c r="AT202" s="4">
        <v>2.8747487487515402E-2</v>
      </c>
      <c r="AU202" s="4">
        <v>0.12733656982233399</v>
      </c>
      <c r="AV202" s="4">
        <v>0.10021544992944099</v>
      </c>
      <c r="AW202" s="4">
        <v>0.15411947883744401</v>
      </c>
      <c r="AX202" s="4">
        <v>0.19956058495380699</v>
      </c>
      <c r="AY202" s="4">
        <v>0.21864168891561001</v>
      </c>
      <c r="AZ202" s="4">
        <v>0.180717429754647</v>
      </c>
      <c r="BA202" s="4">
        <v>0.14143536332344001</v>
      </c>
      <c r="BB202" s="4">
        <v>0.11769029159931201</v>
      </c>
      <c r="BC202" s="4">
        <v>0.164884324799077</v>
      </c>
      <c r="BD202" s="4">
        <v>9.4245117639376305E-2</v>
      </c>
      <c r="BE202" s="4">
        <v>8.8985489890304706E-2</v>
      </c>
      <c r="BF202" s="4">
        <v>9.94391557916742E-2</v>
      </c>
      <c r="BG202" s="4">
        <v>3.1902589273221899E-2</v>
      </c>
      <c r="BH202" s="4">
        <v>4.2122457176765798E-2</v>
      </c>
      <c r="BI202" s="4">
        <v>2.1810167083871599E-2</v>
      </c>
      <c r="BJ202" s="4">
        <v>2.87613297263868E-2</v>
      </c>
      <c r="BK202" s="4">
        <v>4.2161935903117898E-2</v>
      </c>
      <c r="BL202" s="4">
        <v>1.55278343030372E-2</v>
      </c>
      <c r="BM202" s="4">
        <v>5.0917105143536102E-3</v>
      </c>
      <c r="BN202" s="4">
        <v>0</v>
      </c>
      <c r="BO202" s="4">
        <v>1.01199254249388E-2</v>
      </c>
      <c r="BP202" s="4">
        <v>3.3916994582332098E-3</v>
      </c>
      <c r="BQ202" s="4">
        <v>6.8262288290161302E-3</v>
      </c>
      <c r="BR202" s="4">
        <v>0</v>
      </c>
      <c r="BS202" s="4">
        <v>3.07007480242606E-2</v>
      </c>
      <c r="BT202" s="4">
        <v>4.99871567304171E-2</v>
      </c>
      <c r="BU202" s="4">
        <v>1.16548483104888E-2</v>
      </c>
      <c r="BV202" s="4">
        <v>7.5351800291332593E-2</v>
      </c>
      <c r="BW202" s="4">
        <v>0.106390168920377</v>
      </c>
      <c r="BX202" s="4">
        <v>4.47004921502187E-2</v>
      </c>
      <c r="BY202" s="4">
        <v>0.10623083152635</v>
      </c>
      <c r="BZ202" s="4">
        <v>0.110747880381061</v>
      </c>
      <c r="CA202" s="4">
        <v>0.10177011202176101</v>
      </c>
      <c r="CB202" s="4">
        <v>7.4735471774954307E-2</v>
      </c>
      <c r="CC202" s="4">
        <v>6.4198756928412801E-2</v>
      </c>
      <c r="CD202" s="4">
        <v>8.5140789703106498E-2</v>
      </c>
      <c r="CE202" s="4">
        <v>4.63737159451722E-2</v>
      </c>
      <c r="CF202" s="4">
        <v>1.0766022096968799E-2</v>
      </c>
      <c r="CG202" s="4">
        <v>8.1537368048795106E-2</v>
      </c>
      <c r="CH202" s="4">
        <v>1.0454432729629599E-2</v>
      </c>
      <c r="CI202" s="4">
        <v>3.9280414610385504E-3</v>
      </c>
      <c r="CJ202" s="4">
        <v>1.6899437369334198E-2</v>
      </c>
      <c r="CK202" s="4">
        <v>7.8380849647062597E-3</v>
      </c>
      <c r="CL202" s="4">
        <v>7.8980711488639502E-3</v>
      </c>
      <c r="CM202" s="4">
        <v>7.7788468315169298E-3</v>
      </c>
      <c r="CN202" s="4">
        <v>1.9516978450372601E-3</v>
      </c>
      <c r="CO202" s="4">
        <v>3.9280414610385504E-3</v>
      </c>
      <c r="CP202" s="4">
        <v>0</v>
      </c>
      <c r="CQ202" s="4">
        <v>1.46382521874038E-2</v>
      </c>
      <c r="CR202" s="4">
        <v>2.55123186282534E-2</v>
      </c>
      <c r="CS202" s="4">
        <v>3.8997895700892899E-3</v>
      </c>
      <c r="CT202" s="1">
        <f>Table1[[#This Row],[Female %]]*Table1[[#This Row],[NWS_pin]]</f>
        <v>0</v>
      </c>
      <c r="CU202" s="1">
        <f>Table1[[#This Row],[Male %]]*Table1[[#This Row],[NWS_pin]]</f>
        <v>0</v>
      </c>
      <c r="CV202" s="1">
        <f>Table1[[#This Row],[Female% (0-2)22]]+Table1[[#This Row],[Male%(0-2)3]]</f>
        <v>0</v>
      </c>
      <c r="CW202" s="1">
        <f>$CT202*Table1[[#This Row],[Female% (0-2)]]</f>
        <v>0</v>
      </c>
      <c r="CX202" s="1">
        <f>$CU202*Table1[[#This Row],[Male%(0-2)]]</f>
        <v>0</v>
      </c>
      <c r="CY202" s="1">
        <f>Table1[[#This Row],[Female%  (3-5)5]]+Table1[[#This Row],[Male% (3-5)6]]</f>
        <v>0</v>
      </c>
      <c r="CZ202" s="1">
        <f>$AF202*Table1[[#This Row],[Female%  (3-5)]]</f>
        <v>0</v>
      </c>
      <c r="DA202" s="1">
        <f>$CU202*Table1[[#This Row],[Male% (3-5)]]</f>
        <v>0</v>
      </c>
      <c r="DB202" s="1">
        <f>Table1[[#This Row],[Female% (6-8)8]]+Table1[[#This Row],[Male%(6-8)9]]</f>
        <v>0</v>
      </c>
      <c r="DC202" s="1">
        <f>$CT202*Table1[[#This Row],[Female% (6-8)]]</f>
        <v>0</v>
      </c>
      <c r="DD202" s="1">
        <f>$CU202*Table1[[#This Row],[Male%(6-8)]]</f>
        <v>0</v>
      </c>
      <c r="DE202" s="1">
        <f>Table1[[#This Row],[Female% (9 - 11)11]]+Table1[[#This Row],[Male% (9 - 11)12]]</f>
        <v>0</v>
      </c>
      <c r="DF202" s="1">
        <f>$CT202*Table1[[#This Row],[Female% (9 - 11)]]</f>
        <v>0</v>
      </c>
      <c r="DG202" s="1">
        <f>$CU202*Table1[[#This Row],[Male% (9 - 11)]]</f>
        <v>0</v>
      </c>
      <c r="DH202" s="1">
        <f>Table1[[#This Row],[Female% (12-14)14]]+Table1[[#This Row],[Male%(12-14)15]]</f>
        <v>0</v>
      </c>
      <c r="DI202" s="1">
        <f>$CT202*Table1[[#This Row],[Female% (12-14)]]</f>
        <v>0</v>
      </c>
      <c r="DJ202" s="1">
        <f>$CU202*Table1[[#This Row],[Male%(12-14)]]</f>
        <v>0</v>
      </c>
      <c r="DK202" s="1">
        <f>Table1[[#This Row],[Female% (15-17)17]]+Table1[[#This Row],[Male%(15-17)18]]</f>
        <v>0</v>
      </c>
      <c r="DL202" s="1">
        <f>$CT202*Table1[[#This Row],[Female% (15-17)]]</f>
        <v>0</v>
      </c>
      <c r="DM202" s="1">
        <f>$CU202*Table1[[#This Row],[Male%(15-17)]]</f>
        <v>0</v>
      </c>
      <c r="DN202" s="1">
        <f>$AF202*Table1[[#This Row],[Total% (18-19)]]</f>
        <v>0</v>
      </c>
      <c r="DO202" s="1">
        <f>$CT202*Table1[[#This Row],[Female% (18-19)]]</f>
        <v>0</v>
      </c>
      <c r="DP202" s="1">
        <f>$CU202*Table1[[#This Row],[Male%(18-19)]]</f>
        <v>0</v>
      </c>
      <c r="DQ202" s="1">
        <f>$AF202*Table1[[#This Row],[Total% (20-24)]]</f>
        <v>0</v>
      </c>
      <c r="DR202" s="1">
        <f>$CT202*Table1[[#This Row],[Female% (20-24)]]</f>
        <v>0</v>
      </c>
      <c r="DS202" s="1">
        <f>$CU202*Table1[[#This Row],[Male% (20-24)]]</f>
        <v>0</v>
      </c>
      <c r="DT202" s="1">
        <f>$AF202*Table1[[#This Row],[Total% (25-29)]]</f>
        <v>0</v>
      </c>
      <c r="DU202" s="1">
        <f>$CT202*Table1[[#This Row],[Female% (25-29)]]</f>
        <v>0</v>
      </c>
      <c r="DV202" s="1">
        <f>$CU202*Table1[[#This Row],[Male% (25-29)]]</f>
        <v>0</v>
      </c>
      <c r="DW202" s="1">
        <f>$AF202*Table1[[#This Row],[Total%   (30-34)]]</f>
        <v>0</v>
      </c>
      <c r="DX202" s="1">
        <f>$CT202*Table1[[#This Row],[Female%   (30-34)]]</f>
        <v>0</v>
      </c>
      <c r="DY202" s="1">
        <f>$CU202*Table1[[#This Row],[Male%  (30-34)]]</f>
        <v>0</v>
      </c>
      <c r="DZ202" s="1">
        <f>$AF202*Table1[[#This Row],[Total% (35-39)]]</f>
        <v>0</v>
      </c>
      <c r="EA202" s="1">
        <f>$CT202*Table1[[#This Row],[Female% (35-39)]]</f>
        <v>0</v>
      </c>
      <c r="EB202" s="1">
        <f>$CU202*Table1[[#This Row],[Male% (35-39)]]</f>
        <v>0</v>
      </c>
      <c r="EC202" s="1">
        <f>$AF202*Table1[[#This Row],[Total% (40-44)]]</f>
        <v>0</v>
      </c>
      <c r="ED202" s="1">
        <f>$CT202*Table1[[#This Row],[Female% (40-44)]]</f>
        <v>0</v>
      </c>
      <c r="EE202" s="1">
        <f>$CU202*Table1[[#This Row],[Male%(55-59)]]</f>
        <v>0</v>
      </c>
      <c r="EF202" s="1">
        <f>$AF202*Table1[[#This Row],[Total% (45-49)]]</f>
        <v>0</v>
      </c>
      <c r="EG202" s="1">
        <f>$CT202*Table1[[#This Row],[Female% (45-49)]]</f>
        <v>0</v>
      </c>
      <c r="EH202" s="1">
        <f>$CU202*Table1[[#This Row],[Male% (45-49)]]</f>
        <v>0</v>
      </c>
      <c r="EI202" s="1">
        <f>$AF202*Table1[[#This Row],[Total% (50-54)]]</f>
        <v>0</v>
      </c>
      <c r="EJ202" s="1">
        <f>$CT202*Table1[[#This Row],[Female%(50-54)]]</f>
        <v>0</v>
      </c>
      <c r="EK202" s="1">
        <f>$CU202*Table1[[#This Row],[Male% (50-54)]]</f>
        <v>0</v>
      </c>
      <c r="EL202" s="1">
        <f>$AF202*Table1[[#This Row],[Total% (55-59)]]</f>
        <v>0</v>
      </c>
      <c r="EM202" s="1">
        <f>$CT202*Table1[[#This Row],[Female% (55-59)]]</f>
        <v>0</v>
      </c>
      <c r="EN202" s="1">
        <f>$CU202*Table1[[#This Row],[Male% (55-59)]]</f>
        <v>0</v>
      </c>
      <c r="EO202" s="1">
        <f>$AF202*Table1[[#This Row],[Total% (60-64)]]</f>
        <v>0</v>
      </c>
      <c r="EP202" s="1">
        <f>$CT202*Table1[[#This Row],[Female%(60-64)]]</f>
        <v>0</v>
      </c>
      <c r="EQ202" s="1">
        <f>$CU202*Table1[[#This Row],[Male%(60-64)]]</f>
        <v>0</v>
      </c>
      <c r="ER202" s="1">
        <f>$AF202*Table1[[#This Row],[Total% (&gt;=65)]]</f>
        <v>0</v>
      </c>
      <c r="ES202" s="1">
        <f>$CT202*Table1[[#This Row],[Female%(&gt;=65)]]</f>
        <v>0</v>
      </c>
      <c r="ET202" s="1">
        <f>$CU202*Table1[[#This Row],[Male% (&gt;=65)]]</f>
        <v>0</v>
      </c>
    </row>
    <row r="203" spans="1:150" hidden="1" x14ac:dyDescent="0.35">
      <c r="A203" t="s">
        <v>6</v>
      </c>
      <c r="B203" t="s">
        <v>7</v>
      </c>
      <c r="C203" t="s">
        <v>6</v>
      </c>
      <c r="D203" t="s">
        <v>34</v>
      </c>
      <c r="E203" t="s">
        <v>6</v>
      </c>
      <c r="F203" t="s">
        <v>413</v>
      </c>
      <c r="H203">
        <v>3</v>
      </c>
      <c r="I203" s="1">
        <v>0</v>
      </c>
      <c r="J203" s="1">
        <v>79251</v>
      </c>
      <c r="K203" s="1">
        <v>230721</v>
      </c>
      <c r="L203" s="1">
        <v>0</v>
      </c>
      <c r="M203" s="1">
        <v>0</v>
      </c>
      <c r="N203" s="1">
        <v>230721</v>
      </c>
      <c r="O203" s="3">
        <v>1</v>
      </c>
      <c r="P203" s="3">
        <v>0</v>
      </c>
      <c r="Q203" s="3">
        <v>0</v>
      </c>
      <c r="R203" s="3">
        <v>0</v>
      </c>
      <c r="S203" s="3">
        <v>0</v>
      </c>
      <c r="T203" s="1">
        <v>309972</v>
      </c>
      <c r="U203" s="1">
        <v>0</v>
      </c>
      <c r="V203" s="10">
        <f>Table1[[#This Row],[Pop NW+RATAA]]*Table1[[#This Row],[Perc_pop_Northern_Aleppo]]</f>
        <v>0</v>
      </c>
      <c r="W203" s="10">
        <f>Table1[[#This Row],[Pop NW+RATAA]]*Table1[[#This Row],[Perc_pop_Afrin District]]</f>
        <v>0</v>
      </c>
      <c r="X203" s="10">
        <f>Table1[[#This Row],[Pop NW+RATAA]]*Table1[[#This Row],[Perc_pop_Euphrates Shiled]]</f>
        <v>0</v>
      </c>
      <c r="Y203" s="10">
        <f>Table1[[#This Row],[Pop NW+RATAA]]*Table1[[#This Row],[Perc_Pop_Idleb_NSAG]]</f>
        <v>0</v>
      </c>
      <c r="Z203" s="3">
        <v>0</v>
      </c>
      <c r="AA203" s="3">
        <v>0</v>
      </c>
      <c r="AB203" s="3">
        <v>0</v>
      </c>
      <c r="AC203" s="3">
        <v>0</v>
      </c>
      <c r="AD203" s="1">
        <v>230721</v>
      </c>
      <c r="AE203" s="1">
        <v>0</v>
      </c>
      <c r="AF203" s="1">
        <v>0</v>
      </c>
      <c r="AG203" s="1">
        <v>0</v>
      </c>
      <c r="AH203" s="1">
        <v>0</v>
      </c>
      <c r="AI203" s="1">
        <f>Table1[[#This Row],[NWS_pin]]*Table1[[#This Row],[Perc_pop_Northern_Aleppo]]</f>
        <v>0</v>
      </c>
      <c r="AJ203" s="1">
        <f>Table1[[#This Row],[NWS_pin]]*Table1[[#This Row],[Perc_pop_Afrin District]]</f>
        <v>0</v>
      </c>
      <c r="AK203" s="1">
        <f>Table1[[#This Row],[NWS_pin]]*Table1[[#This Row],[Perc_pop_Euphrates Shiled]]</f>
        <v>0</v>
      </c>
      <c r="AL203" s="1">
        <f>Table1[[#This Row],[NWS_pin]]*Table1[[#This Row],[Perc_Pop_Idleb_NSAG]]</f>
        <v>0</v>
      </c>
      <c r="AM203" s="4">
        <v>0.51691712593500405</v>
      </c>
      <c r="AN203" s="4">
        <v>0.483082874064996</v>
      </c>
      <c r="AO203" s="4">
        <v>0.11376798720909601</v>
      </c>
      <c r="AP203" s="4">
        <v>0.41509076693289698</v>
      </c>
      <c r="AQ203" s="4">
        <v>0.52996587930435402</v>
      </c>
      <c r="AR203" s="4">
        <v>0</v>
      </c>
      <c r="AS203" s="4">
        <v>0</v>
      </c>
      <c r="AT203" s="4">
        <v>5.49433537627491E-2</v>
      </c>
      <c r="AU203" s="4">
        <v>3.6106781341369201E-2</v>
      </c>
      <c r="AV203" s="4">
        <v>4.7224500022445499E-2</v>
      </c>
      <c r="AW203" s="4">
        <v>2.4210397726654901E-2</v>
      </c>
      <c r="AX203" s="4">
        <v>6.6011343664610395E-2</v>
      </c>
      <c r="AY203" s="4">
        <v>4.95964157382121E-2</v>
      </c>
      <c r="AZ203" s="4">
        <v>8.3575943491435004E-2</v>
      </c>
      <c r="BA203" s="4">
        <v>5.6515422771603499E-2</v>
      </c>
      <c r="BB203" s="4">
        <v>3.4804274367569901E-2</v>
      </c>
      <c r="BC203" s="4">
        <v>7.9747180791349404E-2</v>
      </c>
      <c r="BD203" s="4">
        <v>6.6205817501126196E-2</v>
      </c>
      <c r="BE203" s="4">
        <v>7.5778500764546397E-2</v>
      </c>
      <c r="BF203" s="4">
        <v>5.5962680793805099E-2</v>
      </c>
      <c r="BG203" s="4">
        <v>5.8802128735187399E-2</v>
      </c>
      <c r="BH203" s="4">
        <v>6.7153039319154798E-2</v>
      </c>
      <c r="BI203" s="4">
        <v>4.9866335458806803E-2</v>
      </c>
      <c r="BJ203" s="4">
        <v>7.5366803572489205E-2</v>
      </c>
      <c r="BK203" s="4">
        <v>6.9545338026641104E-2</v>
      </c>
      <c r="BL203" s="4">
        <v>8.1595994049410606E-2</v>
      </c>
      <c r="BM203" s="4">
        <v>2.6122528867744899E-2</v>
      </c>
      <c r="BN203" s="4">
        <v>4.0004649938532998E-2</v>
      </c>
      <c r="BO203" s="4">
        <v>1.12681291134948E-2</v>
      </c>
      <c r="BP203" s="4">
        <v>6.8883167438770307E-2</v>
      </c>
      <c r="BQ203" s="4">
        <v>5.1817080865633303E-2</v>
      </c>
      <c r="BR203" s="4">
        <v>8.7144531887713705E-2</v>
      </c>
      <c r="BS203" s="4">
        <v>8.8386843486448402E-2</v>
      </c>
      <c r="BT203" s="4">
        <v>0.131283234334653</v>
      </c>
      <c r="BU203" s="4">
        <v>4.2486066910263701E-2</v>
      </c>
      <c r="BV203" s="4">
        <v>9.1833286277056406E-2</v>
      </c>
      <c r="BW203" s="4">
        <v>9.0039185194967605E-2</v>
      </c>
      <c r="BX203" s="4">
        <v>9.3753042958112806E-2</v>
      </c>
      <c r="BY203" s="4">
        <v>8.59351134136324E-2</v>
      </c>
      <c r="BZ203" s="4">
        <v>8.0086429060923101E-2</v>
      </c>
      <c r="CA203" s="4">
        <v>9.2193429053480103E-2</v>
      </c>
      <c r="CB203" s="4">
        <v>6.2102121484571199E-2</v>
      </c>
      <c r="CC203" s="4">
        <v>6.9126743036352106E-2</v>
      </c>
      <c r="CD203" s="4">
        <v>5.4585508128414097E-2</v>
      </c>
      <c r="CE203" s="4">
        <v>6.7890070265189506E-2</v>
      </c>
      <c r="CF203" s="4">
        <v>5.5841491239210603E-2</v>
      </c>
      <c r="CG203" s="4">
        <v>8.0782510001879096E-2</v>
      </c>
      <c r="CH203" s="4">
        <v>3.8623274303132997E-2</v>
      </c>
      <c r="CI203" s="4">
        <v>3.3701467170000603E-2</v>
      </c>
      <c r="CJ203" s="4">
        <v>4.3889795917233597E-2</v>
      </c>
      <c r="CK203" s="4">
        <v>5.4227281131265397E-2</v>
      </c>
      <c r="CL203" s="4">
        <v>5.7552093953584398E-2</v>
      </c>
      <c r="CM203" s="4">
        <v>5.0669604424734699E-2</v>
      </c>
      <c r="CN203" s="4">
        <v>2.2122901877774499E-2</v>
      </c>
      <c r="CO203" s="4">
        <v>1.2046724473272E-2</v>
      </c>
      <c r="CP203" s="4">
        <v>3.2904796546319399E-2</v>
      </c>
      <c r="CQ203" s="4">
        <v>3.4865113868028201E-2</v>
      </c>
      <c r="CR203" s="4">
        <v>3.4398832494300403E-2</v>
      </c>
      <c r="CS203" s="4">
        <v>3.5364052746892201E-2</v>
      </c>
      <c r="CT203" s="1">
        <f>Table1[[#This Row],[Female %]]*Table1[[#This Row],[NWS_pin]]</f>
        <v>0</v>
      </c>
      <c r="CU203" s="1">
        <f>Table1[[#This Row],[Male %]]*Table1[[#This Row],[NWS_pin]]</f>
        <v>0</v>
      </c>
      <c r="CV203" s="1">
        <f>Table1[[#This Row],[Female% (0-2)22]]+Table1[[#This Row],[Male%(0-2)3]]</f>
        <v>0</v>
      </c>
      <c r="CW203" s="1">
        <f>$CT203*Table1[[#This Row],[Female% (0-2)]]</f>
        <v>0</v>
      </c>
      <c r="CX203" s="1">
        <f>$CU203*Table1[[#This Row],[Male%(0-2)]]</f>
        <v>0</v>
      </c>
      <c r="CY203" s="1">
        <f>Table1[[#This Row],[Female%  (3-5)5]]+Table1[[#This Row],[Male% (3-5)6]]</f>
        <v>0</v>
      </c>
      <c r="CZ203" s="1">
        <f>$AF203*Table1[[#This Row],[Female%  (3-5)]]</f>
        <v>0</v>
      </c>
      <c r="DA203" s="1">
        <f>$CU203*Table1[[#This Row],[Male% (3-5)]]</f>
        <v>0</v>
      </c>
      <c r="DB203" s="1">
        <f>Table1[[#This Row],[Female% (6-8)8]]+Table1[[#This Row],[Male%(6-8)9]]</f>
        <v>0</v>
      </c>
      <c r="DC203" s="1">
        <f>$CT203*Table1[[#This Row],[Female% (6-8)]]</f>
        <v>0</v>
      </c>
      <c r="DD203" s="1">
        <f>$CU203*Table1[[#This Row],[Male%(6-8)]]</f>
        <v>0</v>
      </c>
      <c r="DE203" s="1">
        <f>Table1[[#This Row],[Female% (9 - 11)11]]+Table1[[#This Row],[Male% (9 - 11)12]]</f>
        <v>0</v>
      </c>
      <c r="DF203" s="1">
        <f>$CT203*Table1[[#This Row],[Female% (9 - 11)]]</f>
        <v>0</v>
      </c>
      <c r="DG203" s="1">
        <f>$CU203*Table1[[#This Row],[Male% (9 - 11)]]</f>
        <v>0</v>
      </c>
      <c r="DH203" s="1">
        <f>Table1[[#This Row],[Female% (12-14)14]]+Table1[[#This Row],[Male%(12-14)15]]</f>
        <v>0</v>
      </c>
      <c r="DI203" s="1">
        <f>$CT203*Table1[[#This Row],[Female% (12-14)]]</f>
        <v>0</v>
      </c>
      <c r="DJ203" s="1">
        <f>$CU203*Table1[[#This Row],[Male%(12-14)]]</f>
        <v>0</v>
      </c>
      <c r="DK203" s="1">
        <f>Table1[[#This Row],[Female% (15-17)17]]+Table1[[#This Row],[Male%(15-17)18]]</f>
        <v>0</v>
      </c>
      <c r="DL203" s="1">
        <f>$CT203*Table1[[#This Row],[Female% (15-17)]]</f>
        <v>0</v>
      </c>
      <c r="DM203" s="1">
        <f>$CU203*Table1[[#This Row],[Male%(15-17)]]</f>
        <v>0</v>
      </c>
      <c r="DN203" s="1">
        <f>$AF203*Table1[[#This Row],[Total% (18-19)]]</f>
        <v>0</v>
      </c>
      <c r="DO203" s="1">
        <f>$CT203*Table1[[#This Row],[Female% (18-19)]]</f>
        <v>0</v>
      </c>
      <c r="DP203" s="1">
        <f>$CU203*Table1[[#This Row],[Male%(18-19)]]</f>
        <v>0</v>
      </c>
      <c r="DQ203" s="1">
        <f>$AF203*Table1[[#This Row],[Total% (20-24)]]</f>
        <v>0</v>
      </c>
      <c r="DR203" s="1">
        <f>$CT203*Table1[[#This Row],[Female% (20-24)]]</f>
        <v>0</v>
      </c>
      <c r="DS203" s="1">
        <f>$CU203*Table1[[#This Row],[Male% (20-24)]]</f>
        <v>0</v>
      </c>
      <c r="DT203" s="1">
        <f>$AF203*Table1[[#This Row],[Total% (25-29)]]</f>
        <v>0</v>
      </c>
      <c r="DU203" s="1">
        <f>$CT203*Table1[[#This Row],[Female% (25-29)]]</f>
        <v>0</v>
      </c>
      <c r="DV203" s="1">
        <f>$CU203*Table1[[#This Row],[Male% (25-29)]]</f>
        <v>0</v>
      </c>
      <c r="DW203" s="1">
        <f>$AF203*Table1[[#This Row],[Total%   (30-34)]]</f>
        <v>0</v>
      </c>
      <c r="DX203" s="1">
        <f>$CT203*Table1[[#This Row],[Female%   (30-34)]]</f>
        <v>0</v>
      </c>
      <c r="DY203" s="1">
        <f>$CU203*Table1[[#This Row],[Male%  (30-34)]]</f>
        <v>0</v>
      </c>
      <c r="DZ203" s="1">
        <f>$AF203*Table1[[#This Row],[Total% (35-39)]]</f>
        <v>0</v>
      </c>
      <c r="EA203" s="1">
        <f>$CT203*Table1[[#This Row],[Female% (35-39)]]</f>
        <v>0</v>
      </c>
      <c r="EB203" s="1">
        <f>$CU203*Table1[[#This Row],[Male% (35-39)]]</f>
        <v>0</v>
      </c>
      <c r="EC203" s="1">
        <f>$AF203*Table1[[#This Row],[Total% (40-44)]]</f>
        <v>0</v>
      </c>
      <c r="ED203" s="1">
        <f>$CT203*Table1[[#This Row],[Female% (40-44)]]</f>
        <v>0</v>
      </c>
      <c r="EE203" s="1">
        <f>$CU203*Table1[[#This Row],[Male%(55-59)]]</f>
        <v>0</v>
      </c>
      <c r="EF203" s="1">
        <f>$AF203*Table1[[#This Row],[Total% (45-49)]]</f>
        <v>0</v>
      </c>
      <c r="EG203" s="1">
        <f>$CT203*Table1[[#This Row],[Female% (45-49)]]</f>
        <v>0</v>
      </c>
      <c r="EH203" s="1">
        <f>$CU203*Table1[[#This Row],[Male% (45-49)]]</f>
        <v>0</v>
      </c>
      <c r="EI203" s="1">
        <f>$AF203*Table1[[#This Row],[Total% (50-54)]]</f>
        <v>0</v>
      </c>
      <c r="EJ203" s="1">
        <f>$CT203*Table1[[#This Row],[Female%(50-54)]]</f>
        <v>0</v>
      </c>
      <c r="EK203" s="1">
        <f>$CU203*Table1[[#This Row],[Male% (50-54)]]</f>
        <v>0</v>
      </c>
      <c r="EL203" s="1">
        <f>$AF203*Table1[[#This Row],[Total% (55-59)]]</f>
        <v>0</v>
      </c>
      <c r="EM203" s="1">
        <f>$CT203*Table1[[#This Row],[Female% (55-59)]]</f>
        <v>0</v>
      </c>
      <c r="EN203" s="1">
        <f>$CU203*Table1[[#This Row],[Male% (55-59)]]</f>
        <v>0</v>
      </c>
      <c r="EO203" s="1">
        <f>$AF203*Table1[[#This Row],[Total% (60-64)]]</f>
        <v>0</v>
      </c>
      <c r="EP203" s="1">
        <f>$CT203*Table1[[#This Row],[Female%(60-64)]]</f>
        <v>0</v>
      </c>
      <c r="EQ203" s="1">
        <f>$CU203*Table1[[#This Row],[Male%(60-64)]]</f>
        <v>0</v>
      </c>
      <c r="ER203" s="1">
        <f>$AF203*Table1[[#This Row],[Total% (&gt;=65)]]</f>
        <v>0</v>
      </c>
      <c r="ES203" s="1">
        <f>$CT203*Table1[[#This Row],[Female%(&gt;=65)]]</f>
        <v>0</v>
      </c>
      <c r="ET203" s="1">
        <f>$CU203*Table1[[#This Row],[Male% (&gt;=65)]]</f>
        <v>0</v>
      </c>
    </row>
    <row r="204" spans="1:150" hidden="1" x14ac:dyDescent="0.35">
      <c r="A204" t="s">
        <v>6</v>
      </c>
      <c r="B204" t="s">
        <v>7</v>
      </c>
      <c r="C204" t="s">
        <v>6</v>
      </c>
      <c r="D204" t="s">
        <v>34</v>
      </c>
      <c r="E204" t="s">
        <v>585</v>
      </c>
      <c r="F204" t="s">
        <v>586</v>
      </c>
      <c r="H204">
        <v>2</v>
      </c>
      <c r="I204" s="1">
        <v>0</v>
      </c>
      <c r="J204" s="1">
        <v>4871</v>
      </c>
      <c r="K204" s="1">
        <v>554</v>
      </c>
      <c r="L204" s="1">
        <v>0</v>
      </c>
      <c r="M204" s="1">
        <v>0</v>
      </c>
      <c r="N204" s="1">
        <v>554</v>
      </c>
      <c r="O204" s="3">
        <v>1</v>
      </c>
      <c r="P204" s="3">
        <v>0</v>
      </c>
      <c r="Q204" s="3">
        <v>0</v>
      </c>
      <c r="R204" s="3">
        <v>0</v>
      </c>
      <c r="S204" s="3">
        <v>0</v>
      </c>
      <c r="T204" s="1">
        <v>5425</v>
      </c>
      <c r="U204" s="1">
        <v>0</v>
      </c>
      <c r="V204" s="10">
        <f>Table1[[#This Row],[Pop NW+RATAA]]*Table1[[#This Row],[Perc_pop_Northern_Aleppo]]</f>
        <v>0</v>
      </c>
      <c r="W204" s="10">
        <f>Table1[[#This Row],[Pop NW+RATAA]]*Table1[[#This Row],[Perc_pop_Afrin District]]</f>
        <v>0</v>
      </c>
      <c r="X204" s="10">
        <f>Table1[[#This Row],[Pop NW+RATAA]]*Table1[[#This Row],[Perc_pop_Euphrates Shiled]]</f>
        <v>0</v>
      </c>
      <c r="Y204" s="10">
        <f>Table1[[#This Row],[Pop NW+RATAA]]*Table1[[#This Row],[Perc_Pop_Idleb_NSAG]]</f>
        <v>0</v>
      </c>
      <c r="Z204" s="3">
        <v>0</v>
      </c>
      <c r="AA204" s="3">
        <v>0</v>
      </c>
      <c r="AB204" s="3">
        <v>0</v>
      </c>
      <c r="AC204" s="3">
        <v>0</v>
      </c>
      <c r="AD204" s="1">
        <v>554</v>
      </c>
      <c r="AE204" s="1">
        <v>0</v>
      </c>
      <c r="AF204" s="1">
        <v>0</v>
      </c>
      <c r="AG204" s="1">
        <v>0</v>
      </c>
      <c r="AH204" s="1">
        <v>0</v>
      </c>
      <c r="AI204" s="1">
        <f>Table1[[#This Row],[NWS_pin]]*Table1[[#This Row],[Perc_pop_Northern_Aleppo]]</f>
        <v>0</v>
      </c>
      <c r="AJ204" s="1">
        <f>Table1[[#This Row],[NWS_pin]]*Table1[[#This Row],[Perc_pop_Afrin District]]</f>
        <v>0</v>
      </c>
      <c r="AK204" s="1">
        <f>Table1[[#This Row],[NWS_pin]]*Table1[[#This Row],[Perc_pop_Euphrates Shiled]]</f>
        <v>0</v>
      </c>
      <c r="AL204" s="1">
        <f>Table1[[#This Row],[NWS_pin]]*Table1[[#This Row],[Perc_Pop_Idleb_NSAG]]</f>
        <v>0</v>
      </c>
      <c r="AM204" s="4">
        <v>0.51005025125628101</v>
      </c>
      <c r="AN204" s="4">
        <v>0.48994974874371899</v>
      </c>
      <c r="AO204" s="4">
        <v>0.21590909090909099</v>
      </c>
      <c r="AP204" s="4">
        <v>0.41095890410958902</v>
      </c>
      <c r="AQ204" s="4">
        <v>0.55342465753424697</v>
      </c>
      <c r="AR204" s="4">
        <v>2.7397260273972599E-3</v>
      </c>
      <c r="AS204" s="4">
        <v>0</v>
      </c>
      <c r="AT204" s="4">
        <v>3.2876712328767099E-2</v>
      </c>
      <c r="AU204" s="4">
        <v>4.5226130653266298E-2</v>
      </c>
      <c r="AV204" s="4">
        <v>3.4482758620689703E-2</v>
      </c>
      <c r="AW204" s="4">
        <v>5.6410256410256397E-2</v>
      </c>
      <c r="AX204" s="4">
        <v>2.01005025125628E-2</v>
      </c>
      <c r="AY204" s="4">
        <v>4.92610837438424E-3</v>
      </c>
      <c r="AZ204" s="4">
        <v>3.5897435897435902E-2</v>
      </c>
      <c r="BA204" s="4">
        <v>2.7638190954773899E-2</v>
      </c>
      <c r="BB204" s="4">
        <v>3.9408866995073899E-2</v>
      </c>
      <c r="BC204" s="4">
        <v>1.5384615384615399E-2</v>
      </c>
      <c r="BD204" s="4">
        <v>3.7688442211055301E-2</v>
      </c>
      <c r="BE204" s="4">
        <v>1.47783251231527E-2</v>
      </c>
      <c r="BF204" s="4">
        <v>6.15384615384615E-2</v>
      </c>
      <c r="BG204" s="4">
        <v>6.0301507537688398E-2</v>
      </c>
      <c r="BH204" s="4">
        <v>6.4039408866995107E-2</v>
      </c>
      <c r="BI204" s="4">
        <v>5.6410256410256397E-2</v>
      </c>
      <c r="BJ204" s="4">
        <v>6.0301507537688398E-2</v>
      </c>
      <c r="BK204" s="4">
        <v>7.3891625615763595E-2</v>
      </c>
      <c r="BL204" s="4">
        <v>4.6153846153846198E-2</v>
      </c>
      <c r="BM204" s="4">
        <v>4.0201005025125601E-2</v>
      </c>
      <c r="BN204" s="4">
        <v>5.91133004926108E-2</v>
      </c>
      <c r="BO204" s="4">
        <v>2.0512820512820499E-2</v>
      </c>
      <c r="BP204" s="4">
        <v>0.10050251256281401</v>
      </c>
      <c r="BQ204" s="4">
        <v>9.3596059113300503E-2</v>
      </c>
      <c r="BR204" s="4">
        <v>0.107692307692308</v>
      </c>
      <c r="BS204" s="4">
        <v>0.14572864321608001</v>
      </c>
      <c r="BT204" s="4">
        <v>0.147783251231527</v>
      </c>
      <c r="BU204" s="4">
        <v>0.143589743589744</v>
      </c>
      <c r="BV204" s="4">
        <v>6.0301507537688398E-2</v>
      </c>
      <c r="BW204" s="4">
        <v>4.9261083743842402E-2</v>
      </c>
      <c r="BX204" s="4">
        <v>7.1794871794871803E-2</v>
      </c>
      <c r="BY204" s="4">
        <v>4.2713567839195998E-2</v>
      </c>
      <c r="BZ204" s="4">
        <v>5.4187192118226597E-2</v>
      </c>
      <c r="CA204" s="4">
        <v>3.0769230769230799E-2</v>
      </c>
      <c r="CB204" s="4">
        <v>6.2814070351758802E-2</v>
      </c>
      <c r="CC204" s="4">
        <v>7.8817733990147798E-2</v>
      </c>
      <c r="CD204" s="4">
        <v>4.6153846153846198E-2</v>
      </c>
      <c r="CE204" s="4">
        <v>6.2814070351758802E-2</v>
      </c>
      <c r="CF204" s="4">
        <v>5.4187192118226597E-2</v>
      </c>
      <c r="CG204" s="4">
        <v>7.1794871794871803E-2</v>
      </c>
      <c r="CH204" s="4">
        <v>8.5427135678391997E-2</v>
      </c>
      <c r="CI204" s="4">
        <v>8.8669950738916301E-2</v>
      </c>
      <c r="CJ204" s="4">
        <v>8.2051282051282107E-2</v>
      </c>
      <c r="CK204" s="4">
        <v>7.5376884422110602E-2</v>
      </c>
      <c r="CL204" s="4">
        <v>6.4039408866995107E-2</v>
      </c>
      <c r="CM204" s="4">
        <v>8.7179487179487203E-2</v>
      </c>
      <c r="CN204" s="4">
        <v>4.2713567839195998E-2</v>
      </c>
      <c r="CO204" s="4">
        <v>4.9261083743842402E-2</v>
      </c>
      <c r="CP204" s="4">
        <v>3.5897435897435902E-2</v>
      </c>
      <c r="CQ204" s="4">
        <v>3.0150753768844199E-2</v>
      </c>
      <c r="CR204" s="4">
        <v>2.95566502463054E-2</v>
      </c>
      <c r="CS204" s="4">
        <v>3.0769230769230799E-2</v>
      </c>
      <c r="CT204" s="1">
        <f>Table1[[#This Row],[Female %]]*Table1[[#This Row],[NWS_pin]]</f>
        <v>0</v>
      </c>
      <c r="CU204" s="1">
        <f>Table1[[#This Row],[Male %]]*Table1[[#This Row],[NWS_pin]]</f>
        <v>0</v>
      </c>
      <c r="CV204" s="1">
        <f>Table1[[#This Row],[Female% (0-2)22]]+Table1[[#This Row],[Male%(0-2)3]]</f>
        <v>0</v>
      </c>
      <c r="CW204" s="1">
        <f>$CT204*Table1[[#This Row],[Female% (0-2)]]</f>
        <v>0</v>
      </c>
      <c r="CX204" s="1">
        <f>$CU204*Table1[[#This Row],[Male%(0-2)]]</f>
        <v>0</v>
      </c>
      <c r="CY204" s="1">
        <f>Table1[[#This Row],[Female%  (3-5)5]]+Table1[[#This Row],[Male% (3-5)6]]</f>
        <v>0</v>
      </c>
      <c r="CZ204" s="1">
        <f>$AF204*Table1[[#This Row],[Female%  (3-5)]]</f>
        <v>0</v>
      </c>
      <c r="DA204" s="1">
        <f>$CU204*Table1[[#This Row],[Male% (3-5)]]</f>
        <v>0</v>
      </c>
      <c r="DB204" s="1">
        <f>Table1[[#This Row],[Female% (6-8)8]]+Table1[[#This Row],[Male%(6-8)9]]</f>
        <v>0</v>
      </c>
      <c r="DC204" s="1">
        <f>$CT204*Table1[[#This Row],[Female% (6-8)]]</f>
        <v>0</v>
      </c>
      <c r="DD204" s="1">
        <f>$CU204*Table1[[#This Row],[Male%(6-8)]]</f>
        <v>0</v>
      </c>
      <c r="DE204" s="1">
        <f>Table1[[#This Row],[Female% (9 - 11)11]]+Table1[[#This Row],[Male% (9 - 11)12]]</f>
        <v>0</v>
      </c>
      <c r="DF204" s="1">
        <f>$CT204*Table1[[#This Row],[Female% (9 - 11)]]</f>
        <v>0</v>
      </c>
      <c r="DG204" s="1">
        <f>$CU204*Table1[[#This Row],[Male% (9 - 11)]]</f>
        <v>0</v>
      </c>
      <c r="DH204" s="1">
        <f>Table1[[#This Row],[Female% (12-14)14]]+Table1[[#This Row],[Male%(12-14)15]]</f>
        <v>0</v>
      </c>
      <c r="DI204" s="1">
        <f>$CT204*Table1[[#This Row],[Female% (12-14)]]</f>
        <v>0</v>
      </c>
      <c r="DJ204" s="1">
        <f>$CU204*Table1[[#This Row],[Male%(12-14)]]</f>
        <v>0</v>
      </c>
      <c r="DK204" s="1">
        <f>Table1[[#This Row],[Female% (15-17)17]]+Table1[[#This Row],[Male%(15-17)18]]</f>
        <v>0</v>
      </c>
      <c r="DL204" s="1">
        <f>$CT204*Table1[[#This Row],[Female% (15-17)]]</f>
        <v>0</v>
      </c>
      <c r="DM204" s="1">
        <f>$CU204*Table1[[#This Row],[Male%(15-17)]]</f>
        <v>0</v>
      </c>
      <c r="DN204" s="1">
        <f>$AF204*Table1[[#This Row],[Total% (18-19)]]</f>
        <v>0</v>
      </c>
      <c r="DO204" s="1">
        <f>$CT204*Table1[[#This Row],[Female% (18-19)]]</f>
        <v>0</v>
      </c>
      <c r="DP204" s="1">
        <f>$CU204*Table1[[#This Row],[Male%(18-19)]]</f>
        <v>0</v>
      </c>
      <c r="DQ204" s="1">
        <f>$AF204*Table1[[#This Row],[Total% (20-24)]]</f>
        <v>0</v>
      </c>
      <c r="DR204" s="1">
        <f>$CT204*Table1[[#This Row],[Female% (20-24)]]</f>
        <v>0</v>
      </c>
      <c r="DS204" s="1">
        <f>$CU204*Table1[[#This Row],[Male% (20-24)]]</f>
        <v>0</v>
      </c>
      <c r="DT204" s="1">
        <f>$AF204*Table1[[#This Row],[Total% (25-29)]]</f>
        <v>0</v>
      </c>
      <c r="DU204" s="1">
        <f>$CT204*Table1[[#This Row],[Female% (25-29)]]</f>
        <v>0</v>
      </c>
      <c r="DV204" s="1">
        <f>$CU204*Table1[[#This Row],[Male% (25-29)]]</f>
        <v>0</v>
      </c>
      <c r="DW204" s="1">
        <f>$AF204*Table1[[#This Row],[Total%   (30-34)]]</f>
        <v>0</v>
      </c>
      <c r="DX204" s="1">
        <f>$CT204*Table1[[#This Row],[Female%   (30-34)]]</f>
        <v>0</v>
      </c>
      <c r="DY204" s="1">
        <f>$CU204*Table1[[#This Row],[Male%  (30-34)]]</f>
        <v>0</v>
      </c>
      <c r="DZ204" s="1">
        <f>$AF204*Table1[[#This Row],[Total% (35-39)]]</f>
        <v>0</v>
      </c>
      <c r="EA204" s="1">
        <f>$CT204*Table1[[#This Row],[Female% (35-39)]]</f>
        <v>0</v>
      </c>
      <c r="EB204" s="1">
        <f>$CU204*Table1[[#This Row],[Male% (35-39)]]</f>
        <v>0</v>
      </c>
      <c r="EC204" s="1">
        <f>$AF204*Table1[[#This Row],[Total% (40-44)]]</f>
        <v>0</v>
      </c>
      <c r="ED204" s="1">
        <f>$CT204*Table1[[#This Row],[Female% (40-44)]]</f>
        <v>0</v>
      </c>
      <c r="EE204" s="1">
        <f>$CU204*Table1[[#This Row],[Male%(55-59)]]</f>
        <v>0</v>
      </c>
      <c r="EF204" s="1">
        <f>$AF204*Table1[[#This Row],[Total% (45-49)]]</f>
        <v>0</v>
      </c>
      <c r="EG204" s="1">
        <f>$CT204*Table1[[#This Row],[Female% (45-49)]]</f>
        <v>0</v>
      </c>
      <c r="EH204" s="1">
        <f>$CU204*Table1[[#This Row],[Male% (45-49)]]</f>
        <v>0</v>
      </c>
      <c r="EI204" s="1">
        <f>$AF204*Table1[[#This Row],[Total% (50-54)]]</f>
        <v>0</v>
      </c>
      <c r="EJ204" s="1">
        <f>$CT204*Table1[[#This Row],[Female%(50-54)]]</f>
        <v>0</v>
      </c>
      <c r="EK204" s="1">
        <f>$CU204*Table1[[#This Row],[Male% (50-54)]]</f>
        <v>0</v>
      </c>
      <c r="EL204" s="1">
        <f>$AF204*Table1[[#This Row],[Total% (55-59)]]</f>
        <v>0</v>
      </c>
      <c r="EM204" s="1">
        <f>$CT204*Table1[[#This Row],[Female% (55-59)]]</f>
        <v>0</v>
      </c>
      <c r="EN204" s="1">
        <f>$CU204*Table1[[#This Row],[Male% (55-59)]]</f>
        <v>0</v>
      </c>
      <c r="EO204" s="1">
        <f>$AF204*Table1[[#This Row],[Total% (60-64)]]</f>
        <v>0</v>
      </c>
      <c r="EP204" s="1">
        <f>$CT204*Table1[[#This Row],[Female%(60-64)]]</f>
        <v>0</v>
      </c>
      <c r="EQ204" s="1">
        <f>$CU204*Table1[[#This Row],[Male%(60-64)]]</f>
        <v>0</v>
      </c>
      <c r="ER204" s="1">
        <f>$AF204*Table1[[#This Row],[Total% (&gt;=65)]]</f>
        <v>0</v>
      </c>
      <c r="ES204" s="1">
        <f>$CT204*Table1[[#This Row],[Female%(&gt;=65)]]</f>
        <v>0</v>
      </c>
      <c r="ET204" s="1">
        <f>$CU204*Table1[[#This Row],[Male% (&gt;=65)]]</f>
        <v>0</v>
      </c>
    </row>
    <row r="205" spans="1:150" hidden="1" x14ac:dyDescent="0.35">
      <c r="A205" t="s">
        <v>6</v>
      </c>
      <c r="B205" t="s">
        <v>7</v>
      </c>
      <c r="C205" t="s">
        <v>6</v>
      </c>
      <c r="D205" t="s">
        <v>34</v>
      </c>
      <c r="E205" t="s">
        <v>37</v>
      </c>
      <c r="F205" t="s">
        <v>38</v>
      </c>
      <c r="H205">
        <v>2</v>
      </c>
      <c r="I205" s="1">
        <v>184</v>
      </c>
      <c r="J205" s="1">
        <v>18302</v>
      </c>
      <c r="K205" s="1">
        <v>564</v>
      </c>
      <c r="L205" s="1">
        <v>0</v>
      </c>
      <c r="M205" s="1">
        <v>0</v>
      </c>
      <c r="N205" s="1">
        <v>564</v>
      </c>
      <c r="O205" s="3">
        <v>1</v>
      </c>
      <c r="P205" s="3">
        <v>0</v>
      </c>
      <c r="Q205" s="3">
        <v>0</v>
      </c>
      <c r="R205" s="3">
        <v>0</v>
      </c>
      <c r="S205" s="3">
        <v>0</v>
      </c>
      <c r="T205" s="1">
        <v>19050</v>
      </c>
      <c r="U205" s="1">
        <v>0</v>
      </c>
      <c r="V205" s="10">
        <f>Table1[[#This Row],[Pop NW+RATAA]]*Table1[[#This Row],[Perc_pop_Northern_Aleppo]]</f>
        <v>0</v>
      </c>
      <c r="W205" s="10">
        <f>Table1[[#This Row],[Pop NW+RATAA]]*Table1[[#This Row],[Perc_pop_Afrin District]]</f>
        <v>0</v>
      </c>
      <c r="X205" s="10">
        <f>Table1[[#This Row],[Pop NW+RATAA]]*Table1[[#This Row],[Perc_pop_Euphrates Shiled]]</f>
        <v>0</v>
      </c>
      <c r="Y205" s="10">
        <f>Table1[[#This Row],[Pop NW+RATAA]]*Table1[[#This Row],[Perc_Pop_Idleb_NSAG]]</f>
        <v>0</v>
      </c>
      <c r="Z205" s="3">
        <v>0</v>
      </c>
      <c r="AA205" s="3">
        <v>0</v>
      </c>
      <c r="AB205" s="3">
        <v>0</v>
      </c>
      <c r="AC205" s="3">
        <v>0</v>
      </c>
      <c r="AD205" s="1">
        <v>564</v>
      </c>
      <c r="AE205" s="1">
        <v>0</v>
      </c>
      <c r="AF205" s="1">
        <v>0</v>
      </c>
      <c r="AG205" s="1">
        <v>0</v>
      </c>
      <c r="AH205" s="1">
        <v>0</v>
      </c>
      <c r="AI205" s="1">
        <f>Table1[[#This Row],[NWS_pin]]*Table1[[#This Row],[Perc_pop_Northern_Aleppo]]</f>
        <v>0</v>
      </c>
      <c r="AJ205" s="1">
        <f>Table1[[#This Row],[NWS_pin]]*Table1[[#This Row],[Perc_pop_Afrin District]]</f>
        <v>0</v>
      </c>
      <c r="AK205" s="1">
        <f>Table1[[#This Row],[NWS_pin]]*Table1[[#This Row],[Perc_pop_Euphrates Shiled]]</f>
        <v>0</v>
      </c>
      <c r="AL205" s="1">
        <f>Table1[[#This Row],[NWS_pin]]*Table1[[#This Row],[Perc_Pop_Idleb_NSAG]]</f>
        <v>0</v>
      </c>
      <c r="AM205" s="4">
        <v>0.50846234071738206</v>
      </c>
      <c r="AN205" s="4">
        <v>0.491537659282618</v>
      </c>
      <c r="AO205" s="4">
        <v>0.15297191956772099</v>
      </c>
      <c r="AP205" s="4">
        <v>0.41486081686114201</v>
      </c>
      <c r="AQ205" s="4">
        <v>0.53483802049270202</v>
      </c>
      <c r="AR205" s="4">
        <v>4.9147087421379798E-3</v>
      </c>
      <c r="AS205" s="4">
        <v>0</v>
      </c>
      <c r="AT205" s="4">
        <v>4.5386453904017403E-2</v>
      </c>
      <c r="AU205" s="4">
        <v>7.2961356967299607E-2</v>
      </c>
      <c r="AV205" s="4">
        <v>7.8970463301662394E-2</v>
      </c>
      <c r="AW205" s="4">
        <v>6.6745344389852204E-2</v>
      </c>
      <c r="AX205" s="4">
        <v>5.6520704920493499E-2</v>
      </c>
      <c r="AY205" s="4">
        <v>4.5747711156172502E-2</v>
      </c>
      <c r="AZ205" s="4">
        <v>6.7664635649900703E-2</v>
      </c>
      <c r="BA205" s="4">
        <v>3.9350155071846103E-2</v>
      </c>
      <c r="BB205" s="4">
        <v>3.7872926890544299E-2</v>
      </c>
      <c r="BC205" s="4">
        <v>4.08782473444394E-2</v>
      </c>
      <c r="BD205" s="4">
        <v>6.23333720078426E-2</v>
      </c>
      <c r="BE205" s="4">
        <v>6.1849481666138802E-2</v>
      </c>
      <c r="BF205" s="4">
        <v>6.2833923717659404E-2</v>
      </c>
      <c r="BG205" s="4">
        <v>5.2808992698214298E-2</v>
      </c>
      <c r="BH205" s="4">
        <v>4.80131245978032E-2</v>
      </c>
      <c r="BI205" s="4">
        <v>5.77699926827644E-2</v>
      </c>
      <c r="BJ205" s="4">
        <v>5.9678283657438401E-2</v>
      </c>
      <c r="BK205" s="4">
        <v>4.9713884927682597E-2</v>
      </c>
      <c r="BL205" s="4">
        <v>6.9985777714693997E-2</v>
      </c>
      <c r="BM205" s="4">
        <v>2.23826545270406E-2</v>
      </c>
      <c r="BN205" s="4">
        <v>2.5279169103512099E-2</v>
      </c>
      <c r="BO205" s="4">
        <v>1.9386406826255899E-2</v>
      </c>
      <c r="BP205" s="4">
        <v>7.1845154910922096E-2</v>
      </c>
      <c r="BQ205" s="4">
        <v>8.60846661150826E-2</v>
      </c>
      <c r="BR205" s="4">
        <v>5.7115347212961201E-2</v>
      </c>
      <c r="BS205" s="4">
        <v>0.10740022515914099</v>
      </c>
      <c r="BT205" s="4">
        <v>0.12792628250555599</v>
      </c>
      <c r="BU205" s="4">
        <v>8.6167412236343596E-2</v>
      </c>
      <c r="BV205" s="4">
        <v>8.8888819270195193E-2</v>
      </c>
      <c r="BW205" s="4">
        <v>8.0052439719309504E-2</v>
      </c>
      <c r="BX205" s="4">
        <v>9.8029454061978799E-2</v>
      </c>
      <c r="BY205" s="4">
        <v>6.5950502778196002E-2</v>
      </c>
      <c r="BZ205" s="4">
        <v>6.7216191296330094E-2</v>
      </c>
      <c r="CA205" s="4">
        <v>6.4641233926875805E-2</v>
      </c>
      <c r="CB205" s="4">
        <v>7.1939378633574094E-2</v>
      </c>
      <c r="CC205" s="4">
        <v>8.1737913801081405E-2</v>
      </c>
      <c r="CD205" s="4">
        <v>6.1803459171891999E-2</v>
      </c>
      <c r="CE205" s="4">
        <v>5.8573041125175203E-2</v>
      </c>
      <c r="CF205" s="4">
        <v>4.5931956283291803E-2</v>
      </c>
      <c r="CG205" s="4">
        <v>7.1649385259807297E-2</v>
      </c>
      <c r="CH205" s="4">
        <v>5.5659889044737197E-2</v>
      </c>
      <c r="CI205" s="4">
        <v>6.5572226733477595E-2</v>
      </c>
      <c r="CJ205" s="4">
        <v>4.5406248600271898E-2</v>
      </c>
      <c r="CK205" s="4">
        <v>5.3385424641613E-2</v>
      </c>
      <c r="CL205" s="4">
        <v>5.4034179453815799E-2</v>
      </c>
      <c r="CM205" s="4">
        <v>5.2714331828814701E-2</v>
      </c>
      <c r="CN205" s="4">
        <v>2.8556205409926799E-2</v>
      </c>
      <c r="CO205" s="4">
        <v>9.9886570495912302E-3</v>
      </c>
      <c r="CP205" s="4">
        <v>4.7763073739116597E-2</v>
      </c>
      <c r="CQ205" s="4">
        <v>3.17658391763442E-2</v>
      </c>
      <c r="CR205" s="4">
        <v>3.4008725398947601E-2</v>
      </c>
      <c r="CS205" s="4">
        <v>2.94457256363722E-2</v>
      </c>
      <c r="CT205" s="1">
        <f>Table1[[#This Row],[Female %]]*Table1[[#This Row],[NWS_pin]]</f>
        <v>0</v>
      </c>
      <c r="CU205" s="1">
        <f>Table1[[#This Row],[Male %]]*Table1[[#This Row],[NWS_pin]]</f>
        <v>0</v>
      </c>
      <c r="CV205" s="1">
        <f>Table1[[#This Row],[Female% (0-2)22]]+Table1[[#This Row],[Male%(0-2)3]]</f>
        <v>0</v>
      </c>
      <c r="CW205" s="1">
        <f>$CT205*Table1[[#This Row],[Female% (0-2)]]</f>
        <v>0</v>
      </c>
      <c r="CX205" s="1">
        <f>$CU205*Table1[[#This Row],[Male%(0-2)]]</f>
        <v>0</v>
      </c>
      <c r="CY205" s="1">
        <f>Table1[[#This Row],[Female%  (3-5)5]]+Table1[[#This Row],[Male% (3-5)6]]</f>
        <v>0</v>
      </c>
      <c r="CZ205" s="1">
        <f>$AF205*Table1[[#This Row],[Female%  (3-5)]]</f>
        <v>0</v>
      </c>
      <c r="DA205" s="1">
        <f>$CU205*Table1[[#This Row],[Male% (3-5)]]</f>
        <v>0</v>
      </c>
      <c r="DB205" s="1">
        <f>Table1[[#This Row],[Female% (6-8)8]]+Table1[[#This Row],[Male%(6-8)9]]</f>
        <v>0</v>
      </c>
      <c r="DC205" s="1">
        <f>$CT205*Table1[[#This Row],[Female% (6-8)]]</f>
        <v>0</v>
      </c>
      <c r="DD205" s="1">
        <f>$CU205*Table1[[#This Row],[Male%(6-8)]]</f>
        <v>0</v>
      </c>
      <c r="DE205" s="1">
        <f>Table1[[#This Row],[Female% (9 - 11)11]]+Table1[[#This Row],[Male% (9 - 11)12]]</f>
        <v>0</v>
      </c>
      <c r="DF205" s="1">
        <f>$CT205*Table1[[#This Row],[Female% (9 - 11)]]</f>
        <v>0</v>
      </c>
      <c r="DG205" s="1">
        <f>$CU205*Table1[[#This Row],[Male% (9 - 11)]]</f>
        <v>0</v>
      </c>
      <c r="DH205" s="1">
        <f>Table1[[#This Row],[Female% (12-14)14]]+Table1[[#This Row],[Male%(12-14)15]]</f>
        <v>0</v>
      </c>
      <c r="DI205" s="1">
        <f>$CT205*Table1[[#This Row],[Female% (12-14)]]</f>
        <v>0</v>
      </c>
      <c r="DJ205" s="1">
        <f>$CU205*Table1[[#This Row],[Male%(12-14)]]</f>
        <v>0</v>
      </c>
      <c r="DK205" s="1">
        <f>Table1[[#This Row],[Female% (15-17)17]]+Table1[[#This Row],[Male%(15-17)18]]</f>
        <v>0</v>
      </c>
      <c r="DL205" s="1">
        <f>$CT205*Table1[[#This Row],[Female% (15-17)]]</f>
        <v>0</v>
      </c>
      <c r="DM205" s="1">
        <f>$CU205*Table1[[#This Row],[Male%(15-17)]]</f>
        <v>0</v>
      </c>
      <c r="DN205" s="1">
        <f>$AF205*Table1[[#This Row],[Total% (18-19)]]</f>
        <v>0</v>
      </c>
      <c r="DO205" s="1">
        <f>$CT205*Table1[[#This Row],[Female% (18-19)]]</f>
        <v>0</v>
      </c>
      <c r="DP205" s="1">
        <f>$CU205*Table1[[#This Row],[Male%(18-19)]]</f>
        <v>0</v>
      </c>
      <c r="DQ205" s="1">
        <f>$AF205*Table1[[#This Row],[Total% (20-24)]]</f>
        <v>0</v>
      </c>
      <c r="DR205" s="1">
        <f>$CT205*Table1[[#This Row],[Female% (20-24)]]</f>
        <v>0</v>
      </c>
      <c r="DS205" s="1">
        <f>$CU205*Table1[[#This Row],[Male% (20-24)]]</f>
        <v>0</v>
      </c>
      <c r="DT205" s="1">
        <f>$AF205*Table1[[#This Row],[Total% (25-29)]]</f>
        <v>0</v>
      </c>
      <c r="DU205" s="1">
        <f>$CT205*Table1[[#This Row],[Female% (25-29)]]</f>
        <v>0</v>
      </c>
      <c r="DV205" s="1">
        <f>$CU205*Table1[[#This Row],[Male% (25-29)]]</f>
        <v>0</v>
      </c>
      <c r="DW205" s="1">
        <f>$AF205*Table1[[#This Row],[Total%   (30-34)]]</f>
        <v>0</v>
      </c>
      <c r="DX205" s="1">
        <f>$CT205*Table1[[#This Row],[Female%   (30-34)]]</f>
        <v>0</v>
      </c>
      <c r="DY205" s="1">
        <f>$CU205*Table1[[#This Row],[Male%  (30-34)]]</f>
        <v>0</v>
      </c>
      <c r="DZ205" s="1">
        <f>$AF205*Table1[[#This Row],[Total% (35-39)]]</f>
        <v>0</v>
      </c>
      <c r="EA205" s="1">
        <f>$CT205*Table1[[#This Row],[Female% (35-39)]]</f>
        <v>0</v>
      </c>
      <c r="EB205" s="1">
        <f>$CU205*Table1[[#This Row],[Male% (35-39)]]</f>
        <v>0</v>
      </c>
      <c r="EC205" s="1">
        <f>$AF205*Table1[[#This Row],[Total% (40-44)]]</f>
        <v>0</v>
      </c>
      <c r="ED205" s="1">
        <f>$CT205*Table1[[#This Row],[Female% (40-44)]]</f>
        <v>0</v>
      </c>
      <c r="EE205" s="1">
        <f>$CU205*Table1[[#This Row],[Male%(55-59)]]</f>
        <v>0</v>
      </c>
      <c r="EF205" s="1">
        <f>$AF205*Table1[[#This Row],[Total% (45-49)]]</f>
        <v>0</v>
      </c>
      <c r="EG205" s="1">
        <f>$CT205*Table1[[#This Row],[Female% (45-49)]]</f>
        <v>0</v>
      </c>
      <c r="EH205" s="1">
        <f>$CU205*Table1[[#This Row],[Male% (45-49)]]</f>
        <v>0</v>
      </c>
      <c r="EI205" s="1">
        <f>$AF205*Table1[[#This Row],[Total% (50-54)]]</f>
        <v>0</v>
      </c>
      <c r="EJ205" s="1">
        <f>$CT205*Table1[[#This Row],[Female%(50-54)]]</f>
        <v>0</v>
      </c>
      <c r="EK205" s="1">
        <f>$CU205*Table1[[#This Row],[Male% (50-54)]]</f>
        <v>0</v>
      </c>
      <c r="EL205" s="1">
        <f>$AF205*Table1[[#This Row],[Total% (55-59)]]</f>
        <v>0</v>
      </c>
      <c r="EM205" s="1">
        <f>$CT205*Table1[[#This Row],[Female% (55-59)]]</f>
        <v>0</v>
      </c>
      <c r="EN205" s="1">
        <f>$CU205*Table1[[#This Row],[Male% (55-59)]]</f>
        <v>0</v>
      </c>
      <c r="EO205" s="1">
        <f>$AF205*Table1[[#This Row],[Total% (60-64)]]</f>
        <v>0</v>
      </c>
      <c r="EP205" s="1">
        <f>$CT205*Table1[[#This Row],[Female%(60-64)]]</f>
        <v>0</v>
      </c>
      <c r="EQ205" s="1">
        <f>$CU205*Table1[[#This Row],[Male%(60-64)]]</f>
        <v>0</v>
      </c>
      <c r="ER205" s="1">
        <f>$AF205*Table1[[#This Row],[Total% (&gt;=65)]]</f>
        <v>0</v>
      </c>
      <c r="ES205" s="1">
        <f>$CT205*Table1[[#This Row],[Female%(&gt;=65)]]</f>
        <v>0</v>
      </c>
      <c r="ET205" s="1">
        <f>$CU205*Table1[[#This Row],[Male% (&gt;=65)]]</f>
        <v>0</v>
      </c>
    </row>
    <row r="206" spans="1:150" hidden="1" x14ac:dyDescent="0.35">
      <c r="A206" t="s">
        <v>6</v>
      </c>
      <c r="B206" t="s">
        <v>7</v>
      </c>
      <c r="C206" t="s">
        <v>6</v>
      </c>
      <c r="D206" t="s">
        <v>34</v>
      </c>
      <c r="E206" t="s">
        <v>46</v>
      </c>
      <c r="F206" t="s">
        <v>47</v>
      </c>
      <c r="H206">
        <v>2</v>
      </c>
      <c r="I206" s="1">
        <v>0</v>
      </c>
      <c r="J206" s="1">
        <v>19254</v>
      </c>
      <c r="K206" s="1">
        <v>766</v>
      </c>
      <c r="L206" s="1">
        <v>0</v>
      </c>
      <c r="M206" s="1">
        <v>0</v>
      </c>
      <c r="N206" s="1">
        <v>766</v>
      </c>
      <c r="O206" s="3">
        <v>1</v>
      </c>
      <c r="P206" s="3">
        <v>0</v>
      </c>
      <c r="Q206" s="3">
        <v>0</v>
      </c>
      <c r="R206" s="3">
        <v>0</v>
      </c>
      <c r="S206" s="3">
        <v>0</v>
      </c>
      <c r="T206" s="1">
        <v>20020</v>
      </c>
      <c r="U206" s="1">
        <v>0</v>
      </c>
      <c r="V206" s="10">
        <f>Table1[[#This Row],[Pop NW+RATAA]]*Table1[[#This Row],[Perc_pop_Northern_Aleppo]]</f>
        <v>0</v>
      </c>
      <c r="W206" s="10">
        <f>Table1[[#This Row],[Pop NW+RATAA]]*Table1[[#This Row],[Perc_pop_Afrin District]]</f>
        <v>0</v>
      </c>
      <c r="X206" s="10">
        <f>Table1[[#This Row],[Pop NW+RATAA]]*Table1[[#This Row],[Perc_pop_Euphrates Shiled]]</f>
        <v>0</v>
      </c>
      <c r="Y206" s="10">
        <f>Table1[[#This Row],[Pop NW+RATAA]]*Table1[[#This Row],[Perc_Pop_Idleb_NSAG]]</f>
        <v>0</v>
      </c>
      <c r="Z206" s="3">
        <v>0</v>
      </c>
      <c r="AA206" s="3">
        <v>0</v>
      </c>
      <c r="AB206" s="3">
        <v>0</v>
      </c>
      <c r="AC206" s="3">
        <v>0</v>
      </c>
      <c r="AD206" s="1">
        <v>766</v>
      </c>
      <c r="AE206" s="1">
        <v>0</v>
      </c>
      <c r="AF206" s="1">
        <v>0</v>
      </c>
      <c r="AG206" s="1">
        <v>0</v>
      </c>
      <c r="AH206" s="1">
        <v>0</v>
      </c>
      <c r="AI206" s="1">
        <f>Table1[[#This Row],[NWS_pin]]*Table1[[#This Row],[Perc_pop_Northern_Aleppo]]</f>
        <v>0</v>
      </c>
      <c r="AJ206" s="1">
        <f>Table1[[#This Row],[NWS_pin]]*Table1[[#This Row],[Perc_pop_Afrin District]]</f>
        <v>0</v>
      </c>
      <c r="AK206" s="1">
        <f>Table1[[#This Row],[NWS_pin]]*Table1[[#This Row],[Perc_pop_Euphrates Shiled]]</f>
        <v>0</v>
      </c>
      <c r="AL206" s="1">
        <f>Table1[[#This Row],[NWS_pin]]*Table1[[#This Row],[Perc_Pop_Idleb_NSAG]]</f>
        <v>0</v>
      </c>
      <c r="AM206" s="4">
        <v>0.51569577845422399</v>
      </c>
      <c r="AN206" s="4">
        <v>0.48430422154577601</v>
      </c>
      <c r="AO206" s="4">
        <v>0.16585124739377399</v>
      </c>
      <c r="AP206" s="4">
        <v>0.48029267833397499</v>
      </c>
      <c r="AQ206" s="4">
        <v>0.46586257140270898</v>
      </c>
      <c r="AR206" s="4">
        <v>4.4124265600886201E-3</v>
      </c>
      <c r="AS206" s="4">
        <v>0</v>
      </c>
      <c r="AT206" s="4">
        <v>4.9432323703226998E-2</v>
      </c>
      <c r="AU206" s="4">
        <v>2.4717088469812701E-2</v>
      </c>
      <c r="AV206" s="4">
        <v>2.6787856377511399E-2</v>
      </c>
      <c r="AW206" s="4">
        <v>2.2512097844807798E-2</v>
      </c>
      <c r="AX206" s="4">
        <v>3.3901498300237198E-2</v>
      </c>
      <c r="AY206" s="4">
        <v>8.1958116317895607E-3</v>
      </c>
      <c r="AZ206" s="4">
        <v>6.1273372232854798E-2</v>
      </c>
      <c r="BA206" s="4">
        <v>5.5706450696143599E-2</v>
      </c>
      <c r="BB206" s="4">
        <v>7.6643182691460005E-2</v>
      </c>
      <c r="BC206" s="4">
        <v>3.3412644810762497E-2</v>
      </c>
      <c r="BD206" s="4">
        <v>6.8548088879968105E-2</v>
      </c>
      <c r="BE206" s="4">
        <v>7.9083496310519405E-2</v>
      </c>
      <c r="BF206" s="4">
        <v>5.7329799023048002E-2</v>
      </c>
      <c r="BG206" s="4">
        <v>9.6828402836979494E-2</v>
      </c>
      <c r="BH206" s="4">
        <v>8.8452669276514601E-2</v>
      </c>
      <c r="BI206" s="4">
        <v>0.10574703341344401</v>
      </c>
      <c r="BJ206" s="4">
        <v>6.1992908931998603E-2</v>
      </c>
      <c r="BK206" s="4">
        <v>3.2812324294831899E-2</v>
      </c>
      <c r="BL206" s="4">
        <v>9.30649162380318E-2</v>
      </c>
      <c r="BM206" s="4">
        <v>2.3216953877135599E-2</v>
      </c>
      <c r="BN206" s="4">
        <v>2.57840854598404E-2</v>
      </c>
      <c r="BO206" s="4">
        <v>2.0483426352407502E-2</v>
      </c>
      <c r="BP206" s="4">
        <v>4.8262255279660798E-2</v>
      </c>
      <c r="BQ206" s="4">
        <v>4.14876389669998E-2</v>
      </c>
      <c r="BR206" s="4">
        <v>5.5475987635607703E-2</v>
      </c>
      <c r="BS206" s="4">
        <v>8.3954032205588003E-2</v>
      </c>
      <c r="BT206" s="4">
        <v>0.102507189384497</v>
      </c>
      <c r="BU206" s="4">
        <v>6.4198299324252903E-2</v>
      </c>
      <c r="BV206" s="4">
        <v>5.7721443860956997E-2</v>
      </c>
      <c r="BW206" s="4">
        <v>7.1432573390123197E-2</v>
      </c>
      <c r="BX206" s="4">
        <v>4.3121588436484302E-2</v>
      </c>
      <c r="BY206" s="4">
        <v>9.4987240061036898E-2</v>
      </c>
      <c r="BZ206" s="4">
        <v>0.10307223389829499</v>
      </c>
      <c r="CA206" s="4">
        <v>8.6378194330659894E-2</v>
      </c>
      <c r="CB206" s="4">
        <v>9.6009146091979997E-2</v>
      </c>
      <c r="CC206" s="4">
        <v>8.9766693841273698E-2</v>
      </c>
      <c r="CD206" s="4">
        <v>0.10265622065725299</v>
      </c>
      <c r="CE206" s="4">
        <v>5.6214066858815699E-2</v>
      </c>
      <c r="CF206" s="4">
        <v>5.0515602675952703E-2</v>
      </c>
      <c r="CG206" s="4">
        <v>6.22818932209225E-2</v>
      </c>
      <c r="CH206" s="4">
        <v>4.0626170271647902E-2</v>
      </c>
      <c r="CI206" s="4">
        <v>4.71913988817994E-2</v>
      </c>
      <c r="CJ206" s="4">
        <v>3.3635397678264699E-2</v>
      </c>
      <c r="CK206" s="4">
        <v>5.2526017725058299E-2</v>
      </c>
      <c r="CL206" s="4">
        <v>4.6876993165989402E-2</v>
      </c>
      <c r="CM206" s="4">
        <v>5.8541199893402701E-2</v>
      </c>
      <c r="CN206" s="4">
        <v>2.4949565017313199E-2</v>
      </c>
      <c r="CO206" s="4">
        <v>1.8960551363369899E-2</v>
      </c>
      <c r="CP206" s="4">
        <v>3.1326773641647598E-2</v>
      </c>
      <c r="CQ206" s="4">
        <v>7.9838670635666895E-2</v>
      </c>
      <c r="CR206" s="4">
        <v>9.0429698389232704E-2</v>
      </c>
      <c r="CS206" s="4">
        <v>6.8561155266148005E-2</v>
      </c>
      <c r="CT206" s="1">
        <f>Table1[[#This Row],[Female %]]*Table1[[#This Row],[NWS_pin]]</f>
        <v>0</v>
      </c>
      <c r="CU206" s="1">
        <f>Table1[[#This Row],[Male %]]*Table1[[#This Row],[NWS_pin]]</f>
        <v>0</v>
      </c>
      <c r="CV206" s="1">
        <f>Table1[[#This Row],[Female% (0-2)22]]+Table1[[#This Row],[Male%(0-2)3]]</f>
        <v>0</v>
      </c>
      <c r="CW206" s="1">
        <f>$CT206*Table1[[#This Row],[Female% (0-2)]]</f>
        <v>0</v>
      </c>
      <c r="CX206" s="1">
        <f>$CU206*Table1[[#This Row],[Male%(0-2)]]</f>
        <v>0</v>
      </c>
      <c r="CY206" s="1">
        <f>Table1[[#This Row],[Female%  (3-5)5]]+Table1[[#This Row],[Male% (3-5)6]]</f>
        <v>0</v>
      </c>
      <c r="CZ206" s="1">
        <f>$AF206*Table1[[#This Row],[Female%  (3-5)]]</f>
        <v>0</v>
      </c>
      <c r="DA206" s="1">
        <f>$CU206*Table1[[#This Row],[Male% (3-5)]]</f>
        <v>0</v>
      </c>
      <c r="DB206" s="1">
        <f>Table1[[#This Row],[Female% (6-8)8]]+Table1[[#This Row],[Male%(6-8)9]]</f>
        <v>0</v>
      </c>
      <c r="DC206" s="1">
        <f>$CT206*Table1[[#This Row],[Female% (6-8)]]</f>
        <v>0</v>
      </c>
      <c r="DD206" s="1">
        <f>$CU206*Table1[[#This Row],[Male%(6-8)]]</f>
        <v>0</v>
      </c>
      <c r="DE206" s="1">
        <f>Table1[[#This Row],[Female% (9 - 11)11]]+Table1[[#This Row],[Male% (9 - 11)12]]</f>
        <v>0</v>
      </c>
      <c r="DF206" s="1">
        <f>$CT206*Table1[[#This Row],[Female% (9 - 11)]]</f>
        <v>0</v>
      </c>
      <c r="DG206" s="1">
        <f>$CU206*Table1[[#This Row],[Male% (9 - 11)]]</f>
        <v>0</v>
      </c>
      <c r="DH206" s="1">
        <f>Table1[[#This Row],[Female% (12-14)14]]+Table1[[#This Row],[Male%(12-14)15]]</f>
        <v>0</v>
      </c>
      <c r="DI206" s="1">
        <f>$CT206*Table1[[#This Row],[Female% (12-14)]]</f>
        <v>0</v>
      </c>
      <c r="DJ206" s="1">
        <f>$CU206*Table1[[#This Row],[Male%(12-14)]]</f>
        <v>0</v>
      </c>
      <c r="DK206" s="1">
        <f>Table1[[#This Row],[Female% (15-17)17]]+Table1[[#This Row],[Male%(15-17)18]]</f>
        <v>0</v>
      </c>
      <c r="DL206" s="1">
        <f>$CT206*Table1[[#This Row],[Female% (15-17)]]</f>
        <v>0</v>
      </c>
      <c r="DM206" s="1">
        <f>$CU206*Table1[[#This Row],[Male%(15-17)]]</f>
        <v>0</v>
      </c>
      <c r="DN206" s="1">
        <f>$AF206*Table1[[#This Row],[Total% (18-19)]]</f>
        <v>0</v>
      </c>
      <c r="DO206" s="1">
        <f>$CT206*Table1[[#This Row],[Female% (18-19)]]</f>
        <v>0</v>
      </c>
      <c r="DP206" s="1">
        <f>$CU206*Table1[[#This Row],[Male%(18-19)]]</f>
        <v>0</v>
      </c>
      <c r="DQ206" s="1">
        <f>$AF206*Table1[[#This Row],[Total% (20-24)]]</f>
        <v>0</v>
      </c>
      <c r="DR206" s="1">
        <f>$CT206*Table1[[#This Row],[Female% (20-24)]]</f>
        <v>0</v>
      </c>
      <c r="DS206" s="1">
        <f>$CU206*Table1[[#This Row],[Male% (20-24)]]</f>
        <v>0</v>
      </c>
      <c r="DT206" s="1">
        <f>$AF206*Table1[[#This Row],[Total% (25-29)]]</f>
        <v>0</v>
      </c>
      <c r="DU206" s="1">
        <f>$CT206*Table1[[#This Row],[Female% (25-29)]]</f>
        <v>0</v>
      </c>
      <c r="DV206" s="1">
        <f>$CU206*Table1[[#This Row],[Male% (25-29)]]</f>
        <v>0</v>
      </c>
      <c r="DW206" s="1">
        <f>$AF206*Table1[[#This Row],[Total%   (30-34)]]</f>
        <v>0</v>
      </c>
      <c r="DX206" s="1">
        <f>$CT206*Table1[[#This Row],[Female%   (30-34)]]</f>
        <v>0</v>
      </c>
      <c r="DY206" s="1">
        <f>$CU206*Table1[[#This Row],[Male%  (30-34)]]</f>
        <v>0</v>
      </c>
      <c r="DZ206" s="1">
        <f>$AF206*Table1[[#This Row],[Total% (35-39)]]</f>
        <v>0</v>
      </c>
      <c r="EA206" s="1">
        <f>$CT206*Table1[[#This Row],[Female% (35-39)]]</f>
        <v>0</v>
      </c>
      <c r="EB206" s="1">
        <f>$CU206*Table1[[#This Row],[Male% (35-39)]]</f>
        <v>0</v>
      </c>
      <c r="EC206" s="1">
        <f>$AF206*Table1[[#This Row],[Total% (40-44)]]</f>
        <v>0</v>
      </c>
      <c r="ED206" s="1">
        <f>$CT206*Table1[[#This Row],[Female% (40-44)]]</f>
        <v>0</v>
      </c>
      <c r="EE206" s="1">
        <f>$CU206*Table1[[#This Row],[Male%(55-59)]]</f>
        <v>0</v>
      </c>
      <c r="EF206" s="1">
        <f>$AF206*Table1[[#This Row],[Total% (45-49)]]</f>
        <v>0</v>
      </c>
      <c r="EG206" s="1">
        <f>$CT206*Table1[[#This Row],[Female% (45-49)]]</f>
        <v>0</v>
      </c>
      <c r="EH206" s="1">
        <f>$CU206*Table1[[#This Row],[Male% (45-49)]]</f>
        <v>0</v>
      </c>
      <c r="EI206" s="1">
        <f>$AF206*Table1[[#This Row],[Total% (50-54)]]</f>
        <v>0</v>
      </c>
      <c r="EJ206" s="1">
        <f>$CT206*Table1[[#This Row],[Female%(50-54)]]</f>
        <v>0</v>
      </c>
      <c r="EK206" s="1">
        <f>$CU206*Table1[[#This Row],[Male% (50-54)]]</f>
        <v>0</v>
      </c>
      <c r="EL206" s="1">
        <f>$AF206*Table1[[#This Row],[Total% (55-59)]]</f>
        <v>0</v>
      </c>
      <c r="EM206" s="1">
        <f>$CT206*Table1[[#This Row],[Female% (55-59)]]</f>
        <v>0</v>
      </c>
      <c r="EN206" s="1">
        <f>$CU206*Table1[[#This Row],[Male% (55-59)]]</f>
        <v>0</v>
      </c>
      <c r="EO206" s="1">
        <f>$AF206*Table1[[#This Row],[Total% (60-64)]]</f>
        <v>0</v>
      </c>
      <c r="EP206" s="1">
        <f>$CT206*Table1[[#This Row],[Female%(60-64)]]</f>
        <v>0</v>
      </c>
      <c r="EQ206" s="1">
        <f>$CU206*Table1[[#This Row],[Male%(60-64)]]</f>
        <v>0</v>
      </c>
      <c r="ER206" s="1">
        <f>$AF206*Table1[[#This Row],[Total% (&gt;=65)]]</f>
        <v>0</v>
      </c>
      <c r="ES206" s="1">
        <f>$CT206*Table1[[#This Row],[Female%(&gt;=65)]]</f>
        <v>0</v>
      </c>
      <c r="ET206" s="1">
        <f>$CU206*Table1[[#This Row],[Male% (&gt;=65)]]</f>
        <v>0</v>
      </c>
    </row>
    <row r="207" spans="1:150" hidden="1" x14ac:dyDescent="0.35">
      <c r="A207" t="s">
        <v>6</v>
      </c>
      <c r="B207" t="s">
        <v>7</v>
      </c>
      <c r="C207" t="s">
        <v>6</v>
      </c>
      <c r="D207" t="s">
        <v>34</v>
      </c>
      <c r="E207" t="s">
        <v>132</v>
      </c>
      <c r="F207" t="s">
        <v>133</v>
      </c>
      <c r="H207">
        <v>2</v>
      </c>
      <c r="I207" s="1">
        <v>0</v>
      </c>
      <c r="J207" s="1">
        <v>35101</v>
      </c>
      <c r="K207" s="1">
        <v>11004</v>
      </c>
      <c r="L207" s="1">
        <v>0</v>
      </c>
      <c r="M207" s="1">
        <v>0</v>
      </c>
      <c r="N207" s="1">
        <v>11004</v>
      </c>
      <c r="O207" s="3">
        <v>1</v>
      </c>
      <c r="P207" s="3">
        <v>0</v>
      </c>
      <c r="Q207" s="3">
        <v>0</v>
      </c>
      <c r="R207" s="3">
        <v>0</v>
      </c>
      <c r="S207" s="3">
        <v>0</v>
      </c>
      <c r="T207" s="1">
        <v>46105</v>
      </c>
      <c r="U207" s="1">
        <v>0</v>
      </c>
      <c r="V207" s="10">
        <f>Table1[[#This Row],[Pop NW+RATAA]]*Table1[[#This Row],[Perc_pop_Northern_Aleppo]]</f>
        <v>0</v>
      </c>
      <c r="W207" s="10">
        <f>Table1[[#This Row],[Pop NW+RATAA]]*Table1[[#This Row],[Perc_pop_Afrin District]]</f>
        <v>0</v>
      </c>
      <c r="X207" s="10">
        <f>Table1[[#This Row],[Pop NW+RATAA]]*Table1[[#This Row],[Perc_pop_Euphrates Shiled]]</f>
        <v>0</v>
      </c>
      <c r="Y207" s="10">
        <f>Table1[[#This Row],[Pop NW+RATAA]]*Table1[[#This Row],[Perc_Pop_Idleb_NSAG]]</f>
        <v>0</v>
      </c>
      <c r="Z207" s="3">
        <v>0</v>
      </c>
      <c r="AA207" s="3">
        <v>0</v>
      </c>
      <c r="AB207" s="3">
        <v>0</v>
      </c>
      <c r="AC207" s="3">
        <v>0</v>
      </c>
      <c r="AD207" s="1">
        <v>11004</v>
      </c>
      <c r="AE207" s="1">
        <v>0</v>
      </c>
      <c r="AF207" s="1">
        <v>0</v>
      </c>
      <c r="AG207" s="1">
        <v>0</v>
      </c>
      <c r="AH207" s="1">
        <v>0</v>
      </c>
      <c r="AI207" s="1">
        <f>Table1[[#This Row],[NWS_pin]]*Table1[[#This Row],[Perc_pop_Northern_Aleppo]]</f>
        <v>0</v>
      </c>
      <c r="AJ207" s="1">
        <f>Table1[[#This Row],[NWS_pin]]*Table1[[#This Row],[Perc_pop_Afrin District]]</f>
        <v>0</v>
      </c>
      <c r="AK207" s="1">
        <f>Table1[[#This Row],[NWS_pin]]*Table1[[#This Row],[Perc_pop_Euphrates Shiled]]</f>
        <v>0</v>
      </c>
      <c r="AL207" s="1">
        <f>Table1[[#This Row],[NWS_pin]]*Table1[[#This Row],[Perc_Pop_Idleb_NSAG]]</f>
        <v>0</v>
      </c>
      <c r="AM207" s="4">
        <v>0.50064398309800195</v>
      </c>
      <c r="AN207" s="4">
        <v>0.49935601690199799</v>
      </c>
      <c r="AO207" s="4">
        <v>0.126282401837471</v>
      </c>
      <c r="AP207" s="4">
        <v>0.40926610821648202</v>
      </c>
      <c r="AQ207" s="4">
        <v>0.54678672442294796</v>
      </c>
      <c r="AR207" s="4">
        <v>0</v>
      </c>
      <c r="AS207" s="4">
        <v>0</v>
      </c>
      <c r="AT207" s="4">
        <v>4.3947167360569299E-2</v>
      </c>
      <c r="AU207" s="4">
        <v>4.9557891768387499E-2</v>
      </c>
      <c r="AV207" s="4">
        <v>5.4913830893080301E-2</v>
      </c>
      <c r="AW207" s="4">
        <v>4.4188138314224301E-2</v>
      </c>
      <c r="AX207" s="4">
        <v>8.55762189436403E-2</v>
      </c>
      <c r="AY207" s="4">
        <v>0.115945013487701</v>
      </c>
      <c r="AZ207" s="4">
        <v>5.5129095553101297E-2</v>
      </c>
      <c r="BA207" s="4">
        <v>8.9385915305041003E-2</v>
      </c>
      <c r="BB207" s="4">
        <v>9.5384503567067097E-2</v>
      </c>
      <c r="BC207" s="4">
        <v>8.3371855157939503E-2</v>
      </c>
      <c r="BD207" s="4">
        <v>6.6719529630803201E-2</v>
      </c>
      <c r="BE207" s="4">
        <v>4.8842662168495199E-2</v>
      </c>
      <c r="BF207" s="4">
        <v>8.4642506081893998E-2</v>
      </c>
      <c r="BG207" s="4">
        <v>3.1527881170525497E-2</v>
      </c>
      <c r="BH207" s="4">
        <v>2.9669912850451199E-2</v>
      </c>
      <c r="BI207" s="4">
        <v>3.33906416635356E-2</v>
      </c>
      <c r="BJ207" s="4">
        <v>4.4871483867446403E-2</v>
      </c>
      <c r="BK207" s="4">
        <v>1.56643572654529E-2</v>
      </c>
      <c r="BL207" s="4">
        <v>7.41539430787857E-2</v>
      </c>
      <c r="BM207" s="4">
        <v>2.43390739682246E-2</v>
      </c>
      <c r="BN207" s="4">
        <v>3.3166948433299301E-2</v>
      </c>
      <c r="BO207" s="4">
        <v>1.54884301692304E-2</v>
      </c>
      <c r="BP207" s="4">
        <v>5.4694595090415403E-2</v>
      </c>
      <c r="BQ207" s="4">
        <v>6.6431562506388001E-2</v>
      </c>
      <c r="BR207" s="4">
        <v>4.2927355049774699E-2</v>
      </c>
      <c r="BS207" s="4">
        <v>8.7703751097310795E-2</v>
      </c>
      <c r="BT207" s="4">
        <v>0.129513723536586</v>
      </c>
      <c r="BU207" s="4">
        <v>4.5785940103306798E-2</v>
      </c>
      <c r="BV207" s="4">
        <v>9.6808967095078996E-2</v>
      </c>
      <c r="BW207" s="4">
        <v>9.6213525858303006E-2</v>
      </c>
      <c r="BX207" s="4">
        <v>9.7405944126275706E-2</v>
      </c>
      <c r="BY207" s="4">
        <v>9.2625919732188006E-2</v>
      </c>
      <c r="BZ207" s="4">
        <v>8.8017183095819101E-2</v>
      </c>
      <c r="CA207" s="4">
        <v>9.7246543472732996E-2</v>
      </c>
      <c r="CB207" s="4">
        <v>5.48769116708386E-2</v>
      </c>
      <c r="CC207" s="4">
        <v>4.6438118974919597E-2</v>
      </c>
      <c r="CD207" s="4">
        <v>6.3337470159818096E-2</v>
      </c>
      <c r="CE207" s="4">
        <v>5.9000071258871398E-2</v>
      </c>
      <c r="CF207" s="4">
        <v>4.7734270721582497E-2</v>
      </c>
      <c r="CG207" s="4">
        <v>7.0294929161590497E-2</v>
      </c>
      <c r="CH207" s="4">
        <v>3.1745827186623901E-2</v>
      </c>
      <c r="CI207" s="4">
        <v>3.8025246189336601E-2</v>
      </c>
      <c r="CJ207" s="4">
        <v>2.5450211964916699E-2</v>
      </c>
      <c r="CK207" s="4">
        <v>4.8756229465694897E-2</v>
      </c>
      <c r="CL207" s="4">
        <v>4.5969475323526902E-2</v>
      </c>
      <c r="CM207" s="4">
        <v>5.1550171355702501E-2</v>
      </c>
      <c r="CN207" s="4">
        <v>2.57468157139457E-2</v>
      </c>
      <c r="CO207" s="4">
        <v>1.2794955910398999E-2</v>
      </c>
      <c r="CP207" s="4">
        <v>3.8732081658677697E-2</v>
      </c>
      <c r="CQ207" s="4">
        <v>5.6062917034963897E-2</v>
      </c>
      <c r="CR207" s="4">
        <v>3.5274709217592203E-2</v>
      </c>
      <c r="CS207" s="4">
        <v>7.69047429284936E-2</v>
      </c>
      <c r="CT207" s="1">
        <f>Table1[[#This Row],[Female %]]*Table1[[#This Row],[NWS_pin]]</f>
        <v>0</v>
      </c>
      <c r="CU207" s="1">
        <f>Table1[[#This Row],[Male %]]*Table1[[#This Row],[NWS_pin]]</f>
        <v>0</v>
      </c>
      <c r="CV207" s="1">
        <f>Table1[[#This Row],[Female% (0-2)22]]+Table1[[#This Row],[Male%(0-2)3]]</f>
        <v>0</v>
      </c>
      <c r="CW207" s="1">
        <f>$CT207*Table1[[#This Row],[Female% (0-2)]]</f>
        <v>0</v>
      </c>
      <c r="CX207" s="1">
        <f>$CU207*Table1[[#This Row],[Male%(0-2)]]</f>
        <v>0</v>
      </c>
      <c r="CY207" s="1">
        <f>Table1[[#This Row],[Female%  (3-5)5]]+Table1[[#This Row],[Male% (3-5)6]]</f>
        <v>0</v>
      </c>
      <c r="CZ207" s="1">
        <f>$AF207*Table1[[#This Row],[Female%  (3-5)]]</f>
        <v>0</v>
      </c>
      <c r="DA207" s="1">
        <f>$CU207*Table1[[#This Row],[Male% (3-5)]]</f>
        <v>0</v>
      </c>
      <c r="DB207" s="1">
        <f>Table1[[#This Row],[Female% (6-8)8]]+Table1[[#This Row],[Male%(6-8)9]]</f>
        <v>0</v>
      </c>
      <c r="DC207" s="1">
        <f>$CT207*Table1[[#This Row],[Female% (6-8)]]</f>
        <v>0</v>
      </c>
      <c r="DD207" s="1">
        <f>$CU207*Table1[[#This Row],[Male%(6-8)]]</f>
        <v>0</v>
      </c>
      <c r="DE207" s="1">
        <f>Table1[[#This Row],[Female% (9 - 11)11]]+Table1[[#This Row],[Male% (9 - 11)12]]</f>
        <v>0</v>
      </c>
      <c r="DF207" s="1">
        <f>$CT207*Table1[[#This Row],[Female% (9 - 11)]]</f>
        <v>0</v>
      </c>
      <c r="DG207" s="1">
        <f>$CU207*Table1[[#This Row],[Male% (9 - 11)]]</f>
        <v>0</v>
      </c>
      <c r="DH207" s="1">
        <f>Table1[[#This Row],[Female% (12-14)14]]+Table1[[#This Row],[Male%(12-14)15]]</f>
        <v>0</v>
      </c>
      <c r="DI207" s="1">
        <f>$CT207*Table1[[#This Row],[Female% (12-14)]]</f>
        <v>0</v>
      </c>
      <c r="DJ207" s="1">
        <f>$CU207*Table1[[#This Row],[Male%(12-14)]]</f>
        <v>0</v>
      </c>
      <c r="DK207" s="1">
        <f>Table1[[#This Row],[Female% (15-17)17]]+Table1[[#This Row],[Male%(15-17)18]]</f>
        <v>0</v>
      </c>
      <c r="DL207" s="1">
        <f>$CT207*Table1[[#This Row],[Female% (15-17)]]</f>
        <v>0</v>
      </c>
      <c r="DM207" s="1">
        <f>$CU207*Table1[[#This Row],[Male%(15-17)]]</f>
        <v>0</v>
      </c>
      <c r="DN207" s="1">
        <f>$AF207*Table1[[#This Row],[Total% (18-19)]]</f>
        <v>0</v>
      </c>
      <c r="DO207" s="1">
        <f>$CT207*Table1[[#This Row],[Female% (18-19)]]</f>
        <v>0</v>
      </c>
      <c r="DP207" s="1">
        <f>$CU207*Table1[[#This Row],[Male%(18-19)]]</f>
        <v>0</v>
      </c>
      <c r="DQ207" s="1">
        <f>$AF207*Table1[[#This Row],[Total% (20-24)]]</f>
        <v>0</v>
      </c>
      <c r="DR207" s="1">
        <f>$CT207*Table1[[#This Row],[Female% (20-24)]]</f>
        <v>0</v>
      </c>
      <c r="DS207" s="1">
        <f>$CU207*Table1[[#This Row],[Male% (20-24)]]</f>
        <v>0</v>
      </c>
      <c r="DT207" s="1">
        <f>$AF207*Table1[[#This Row],[Total% (25-29)]]</f>
        <v>0</v>
      </c>
      <c r="DU207" s="1">
        <f>$CT207*Table1[[#This Row],[Female% (25-29)]]</f>
        <v>0</v>
      </c>
      <c r="DV207" s="1">
        <f>$CU207*Table1[[#This Row],[Male% (25-29)]]</f>
        <v>0</v>
      </c>
      <c r="DW207" s="1">
        <f>$AF207*Table1[[#This Row],[Total%   (30-34)]]</f>
        <v>0</v>
      </c>
      <c r="DX207" s="1">
        <f>$CT207*Table1[[#This Row],[Female%   (30-34)]]</f>
        <v>0</v>
      </c>
      <c r="DY207" s="1">
        <f>$CU207*Table1[[#This Row],[Male%  (30-34)]]</f>
        <v>0</v>
      </c>
      <c r="DZ207" s="1">
        <f>$AF207*Table1[[#This Row],[Total% (35-39)]]</f>
        <v>0</v>
      </c>
      <c r="EA207" s="1">
        <f>$CT207*Table1[[#This Row],[Female% (35-39)]]</f>
        <v>0</v>
      </c>
      <c r="EB207" s="1">
        <f>$CU207*Table1[[#This Row],[Male% (35-39)]]</f>
        <v>0</v>
      </c>
      <c r="EC207" s="1">
        <f>$AF207*Table1[[#This Row],[Total% (40-44)]]</f>
        <v>0</v>
      </c>
      <c r="ED207" s="1">
        <f>$CT207*Table1[[#This Row],[Female% (40-44)]]</f>
        <v>0</v>
      </c>
      <c r="EE207" s="1">
        <f>$CU207*Table1[[#This Row],[Male%(55-59)]]</f>
        <v>0</v>
      </c>
      <c r="EF207" s="1">
        <f>$AF207*Table1[[#This Row],[Total% (45-49)]]</f>
        <v>0</v>
      </c>
      <c r="EG207" s="1">
        <f>$CT207*Table1[[#This Row],[Female% (45-49)]]</f>
        <v>0</v>
      </c>
      <c r="EH207" s="1">
        <f>$CU207*Table1[[#This Row],[Male% (45-49)]]</f>
        <v>0</v>
      </c>
      <c r="EI207" s="1">
        <f>$AF207*Table1[[#This Row],[Total% (50-54)]]</f>
        <v>0</v>
      </c>
      <c r="EJ207" s="1">
        <f>$CT207*Table1[[#This Row],[Female%(50-54)]]</f>
        <v>0</v>
      </c>
      <c r="EK207" s="1">
        <f>$CU207*Table1[[#This Row],[Male% (50-54)]]</f>
        <v>0</v>
      </c>
      <c r="EL207" s="1">
        <f>$AF207*Table1[[#This Row],[Total% (55-59)]]</f>
        <v>0</v>
      </c>
      <c r="EM207" s="1">
        <f>$CT207*Table1[[#This Row],[Female% (55-59)]]</f>
        <v>0</v>
      </c>
      <c r="EN207" s="1">
        <f>$CU207*Table1[[#This Row],[Male% (55-59)]]</f>
        <v>0</v>
      </c>
      <c r="EO207" s="1">
        <f>$AF207*Table1[[#This Row],[Total% (60-64)]]</f>
        <v>0</v>
      </c>
      <c r="EP207" s="1">
        <f>$CT207*Table1[[#This Row],[Female%(60-64)]]</f>
        <v>0</v>
      </c>
      <c r="EQ207" s="1">
        <f>$CU207*Table1[[#This Row],[Male%(60-64)]]</f>
        <v>0</v>
      </c>
      <c r="ER207" s="1">
        <f>$AF207*Table1[[#This Row],[Total% (&gt;=65)]]</f>
        <v>0</v>
      </c>
      <c r="ES207" s="1">
        <f>$CT207*Table1[[#This Row],[Female%(&gt;=65)]]</f>
        <v>0</v>
      </c>
      <c r="ET207" s="1">
        <f>$CU207*Table1[[#This Row],[Male% (&gt;=65)]]</f>
        <v>0</v>
      </c>
    </row>
    <row r="208" spans="1:150" hidden="1" x14ac:dyDescent="0.35">
      <c r="A208" t="s">
        <v>6</v>
      </c>
      <c r="B208" t="s">
        <v>7</v>
      </c>
      <c r="C208" t="s">
        <v>6</v>
      </c>
      <c r="D208" t="s">
        <v>34</v>
      </c>
      <c r="E208" t="s">
        <v>35</v>
      </c>
      <c r="F208" t="s">
        <v>36</v>
      </c>
      <c r="H208">
        <v>2</v>
      </c>
      <c r="I208" s="1">
        <v>0</v>
      </c>
      <c r="J208" s="1">
        <v>14409</v>
      </c>
      <c r="K208" s="1">
        <v>427</v>
      </c>
      <c r="L208" s="1">
        <v>0</v>
      </c>
      <c r="M208" s="1">
        <v>0</v>
      </c>
      <c r="N208" s="1">
        <v>427</v>
      </c>
      <c r="O208" s="3">
        <v>1</v>
      </c>
      <c r="P208" s="3">
        <v>0</v>
      </c>
      <c r="Q208" s="3">
        <v>0</v>
      </c>
      <c r="R208" s="3">
        <v>0</v>
      </c>
      <c r="S208" s="3">
        <v>0</v>
      </c>
      <c r="T208" s="1">
        <v>14836</v>
      </c>
      <c r="U208" s="1">
        <v>0</v>
      </c>
      <c r="V208" s="10">
        <f>Table1[[#This Row],[Pop NW+RATAA]]*Table1[[#This Row],[Perc_pop_Northern_Aleppo]]</f>
        <v>0</v>
      </c>
      <c r="W208" s="10">
        <f>Table1[[#This Row],[Pop NW+RATAA]]*Table1[[#This Row],[Perc_pop_Afrin District]]</f>
        <v>0</v>
      </c>
      <c r="X208" s="10">
        <f>Table1[[#This Row],[Pop NW+RATAA]]*Table1[[#This Row],[Perc_pop_Euphrates Shiled]]</f>
        <v>0</v>
      </c>
      <c r="Y208" s="10">
        <f>Table1[[#This Row],[Pop NW+RATAA]]*Table1[[#This Row],[Perc_Pop_Idleb_NSAG]]</f>
        <v>0</v>
      </c>
      <c r="Z208" s="3">
        <v>0</v>
      </c>
      <c r="AA208" s="3">
        <v>0</v>
      </c>
      <c r="AB208" s="3">
        <v>0</v>
      </c>
      <c r="AC208" s="3">
        <v>0</v>
      </c>
      <c r="AD208" s="1">
        <v>427</v>
      </c>
      <c r="AE208" s="1">
        <v>0</v>
      </c>
      <c r="AF208" s="1">
        <v>0</v>
      </c>
      <c r="AG208" s="1">
        <v>0</v>
      </c>
      <c r="AH208" s="1">
        <v>0</v>
      </c>
      <c r="AI208" s="1">
        <f>Table1[[#This Row],[NWS_pin]]*Table1[[#This Row],[Perc_pop_Northern_Aleppo]]</f>
        <v>0</v>
      </c>
      <c r="AJ208" s="1">
        <f>Table1[[#This Row],[NWS_pin]]*Table1[[#This Row],[Perc_pop_Afrin District]]</f>
        <v>0</v>
      </c>
      <c r="AK208" s="1">
        <f>Table1[[#This Row],[NWS_pin]]*Table1[[#This Row],[Perc_pop_Euphrates Shiled]]</f>
        <v>0</v>
      </c>
      <c r="AL208" s="1">
        <f>Table1[[#This Row],[NWS_pin]]*Table1[[#This Row],[Perc_Pop_Idleb_NSAG]]</f>
        <v>0</v>
      </c>
      <c r="AM208" s="4">
        <v>0.51426680495145405</v>
      </c>
      <c r="AN208" s="4">
        <v>0.48573319504854601</v>
      </c>
      <c r="AO208" s="4">
        <v>7.6897866471972096E-2</v>
      </c>
      <c r="AP208" s="4">
        <v>0.40819848359312</v>
      </c>
      <c r="AQ208" s="4">
        <v>0.53612662599772898</v>
      </c>
      <c r="AR208" s="4">
        <v>5.6136528396518396E-3</v>
      </c>
      <c r="AS208" s="4">
        <v>0</v>
      </c>
      <c r="AT208" s="4">
        <v>5.0061237569498998E-2</v>
      </c>
      <c r="AU208" s="4">
        <v>4.1803317896717901E-2</v>
      </c>
      <c r="AV208" s="4">
        <v>6.2433766698266703E-2</v>
      </c>
      <c r="AW208" s="4">
        <v>1.99609667911347E-2</v>
      </c>
      <c r="AX208" s="4">
        <v>3.7458681864311297E-2</v>
      </c>
      <c r="AY208" s="4">
        <v>2.87469133032873E-2</v>
      </c>
      <c r="AZ208" s="4">
        <v>4.6682209160827597E-2</v>
      </c>
      <c r="BA208" s="4">
        <v>8.2213652466669798E-2</v>
      </c>
      <c r="BB208" s="4">
        <v>7.4724721642089195E-2</v>
      </c>
      <c r="BC208" s="4">
        <v>9.0142508404289196E-2</v>
      </c>
      <c r="BD208" s="4">
        <v>7.0327155317059895E-2</v>
      </c>
      <c r="BE208" s="4">
        <v>6.0070617878301098E-2</v>
      </c>
      <c r="BF208" s="4">
        <v>8.1186196437295299E-2</v>
      </c>
      <c r="BG208" s="4">
        <v>6.25182939449479E-2</v>
      </c>
      <c r="BH208" s="4">
        <v>8.6420797932893104E-2</v>
      </c>
      <c r="BI208" s="4">
        <v>3.7211676070105199E-2</v>
      </c>
      <c r="BJ208" s="4">
        <v>6.3690351612838897E-2</v>
      </c>
      <c r="BK208" s="4">
        <v>6.2255963321647401E-2</v>
      </c>
      <c r="BL208" s="4">
        <v>6.5209000721218296E-2</v>
      </c>
      <c r="BM208" s="4">
        <v>2.88529712051066E-2</v>
      </c>
      <c r="BN208" s="4">
        <v>3.7511581652985397E-2</v>
      </c>
      <c r="BO208" s="4">
        <v>1.9685724709003202E-2</v>
      </c>
      <c r="BP208" s="4">
        <v>6.8706496084240398E-2</v>
      </c>
      <c r="BQ208" s="4">
        <v>5.62887965217981E-2</v>
      </c>
      <c r="BR208" s="4">
        <v>8.1853653297133705E-2</v>
      </c>
      <c r="BS208" s="4">
        <v>7.9174758235599593E-2</v>
      </c>
      <c r="BT208" s="4">
        <v>9.2299641410251501E-2</v>
      </c>
      <c r="BU208" s="4">
        <v>6.52788750544743E-2</v>
      </c>
      <c r="BV208" s="4">
        <v>9.7180462839746906E-2</v>
      </c>
      <c r="BW208" s="4">
        <v>0.106755752909222</v>
      </c>
      <c r="BX208" s="4">
        <v>8.7042687862230503E-2</v>
      </c>
      <c r="BY208" s="4">
        <v>8.31208801420944E-2</v>
      </c>
      <c r="BZ208" s="4">
        <v>7.8886156834714102E-2</v>
      </c>
      <c r="CA208" s="4">
        <v>8.7604365412073198E-2</v>
      </c>
      <c r="CB208" s="4">
        <v>9.8428827540064795E-2</v>
      </c>
      <c r="CC208" s="4">
        <v>8.7584170974503606E-2</v>
      </c>
      <c r="CD208" s="4">
        <v>0.109910535892753</v>
      </c>
      <c r="CE208" s="4">
        <v>6.05106146590823E-2</v>
      </c>
      <c r="CF208" s="4">
        <v>5.4740638661533697E-2</v>
      </c>
      <c r="CG208" s="4">
        <v>6.6619538552186497E-2</v>
      </c>
      <c r="CH208" s="4">
        <v>5.0762239398584902E-2</v>
      </c>
      <c r="CI208" s="4">
        <v>4.1085931426929102E-2</v>
      </c>
      <c r="CJ208" s="4">
        <v>6.1006966411348298E-2</v>
      </c>
      <c r="CK208" s="4">
        <v>2.0493137921289799E-2</v>
      </c>
      <c r="CL208" s="4">
        <v>1.84566580644717E-2</v>
      </c>
      <c r="CM208" s="4">
        <v>2.26492474892372E-2</v>
      </c>
      <c r="CN208" s="4">
        <v>3.1518802111520701E-2</v>
      </c>
      <c r="CO208" s="4">
        <v>4.2321624702909899E-2</v>
      </c>
      <c r="CP208" s="4">
        <v>2.0081385202067099E-2</v>
      </c>
      <c r="CQ208" s="4">
        <v>2.3239356760124199E-2</v>
      </c>
      <c r="CR208" s="4">
        <v>9.4162660641963995E-3</v>
      </c>
      <c r="CS208" s="4">
        <v>3.7874462532622298E-2</v>
      </c>
      <c r="CT208" s="1">
        <f>Table1[[#This Row],[Female %]]*Table1[[#This Row],[NWS_pin]]</f>
        <v>0</v>
      </c>
      <c r="CU208" s="1">
        <f>Table1[[#This Row],[Male %]]*Table1[[#This Row],[NWS_pin]]</f>
        <v>0</v>
      </c>
      <c r="CV208" s="1">
        <f>Table1[[#This Row],[Female% (0-2)22]]+Table1[[#This Row],[Male%(0-2)3]]</f>
        <v>0</v>
      </c>
      <c r="CW208" s="1">
        <f>$CT208*Table1[[#This Row],[Female% (0-2)]]</f>
        <v>0</v>
      </c>
      <c r="CX208" s="1">
        <f>$CU208*Table1[[#This Row],[Male%(0-2)]]</f>
        <v>0</v>
      </c>
      <c r="CY208" s="1">
        <f>Table1[[#This Row],[Female%  (3-5)5]]+Table1[[#This Row],[Male% (3-5)6]]</f>
        <v>0</v>
      </c>
      <c r="CZ208" s="1">
        <f>$AF208*Table1[[#This Row],[Female%  (3-5)]]</f>
        <v>0</v>
      </c>
      <c r="DA208" s="1">
        <f>$CU208*Table1[[#This Row],[Male% (3-5)]]</f>
        <v>0</v>
      </c>
      <c r="DB208" s="1">
        <f>Table1[[#This Row],[Female% (6-8)8]]+Table1[[#This Row],[Male%(6-8)9]]</f>
        <v>0</v>
      </c>
      <c r="DC208" s="1">
        <f>$CT208*Table1[[#This Row],[Female% (6-8)]]</f>
        <v>0</v>
      </c>
      <c r="DD208" s="1">
        <f>$CU208*Table1[[#This Row],[Male%(6-8)]]</f>
        <v>0</v>
      </c>
      <c r="DE208" s="1">
        <f>Table1[[#This Row],[Female% (9 - 11)11]]+Table1[[#This Row],[Male% (9 - 11)12]]</f>
        <v>0</v>
      </c>
      <c r="DF208" s="1">
        <f>$CT208*Table1[[#This Row],[Female% (9 - 11)]]</f>
        <v>0</v>
      </c>
      <c r="DG208" s="1">
        <f>$CU208*Table1[[#This Row],[Male% (9 - 11)]]</f>
        <v>0</v>
      </c>
      <c r="DH208" s="1">
        <f>Table1[[#This Row],[Female% (12-14)14]]+Table1[[#This Row],[Male%(12-14)15]]</f>
        <v>0</v>
      </c>
      <c r="DI208" s="1">
        <f>$CT208*Table1[[#This Row],[Female% (12-14)]]</f>
        <v>0</v>
      </c>
      <c r="DJ208" s="1">
        <f>$CU208*Table1[[#This Row],[Male%(12-14)]]</f>
        <v>0</v>
      </c>
      <c r="DK208" s="1">
        <f>Table1[[#This Row],[Female% (15-17)17]]+Table1[[#This Row],[Male%(15-17)18]]</f>
        <v>0</v>
      </c>
      <c r="DL208" s="1">
        <f>$CT208*Table1[[#This Row],[Female% (15-17)]]</f>
        <v>0</v>
      </c>
      <c r="DM208" s="1">
        <f>$CU208*Table1[[#This Row],[Male%(15-17)]]</f>
        <v>0</v>
      </c>
      <c r="DN208" s="1">
        <f>$AF208*Table1[[#This Row],[Total% (18-19)]]</f>
        <v>0</v>
      </c>
      <c r="DO208" s="1">
        <f>$CT208*Table1[[#This Row],[Female% (18-19)]]</f>
        <v>0</v>
      </c>
      <c r="DP208" s="1">
        <f>$CU208*Table1[[#This Row],[Male%(18-19)]]</f>
        <v>0</v>
      </c>
      <c r="DQ208" s="1">
        <f>$AF208*Table1[[#This Row],[Total% (20-24)]]</f>
        <v>0</v>
      </c>
      <c r="DR208" s="1">
        <f>$CT208*Table1[[#This Row],[Female% (20-24)]]</f>
        <v>0</v>
      </c>
      <c r="DS208" s="1">
        <f>$CU208*Table1[[#This Row],[Male% (20-24)]]</f>
        <v>0</v>
      </c>
      <c r="DT208" s="1">
        <f>$AF208*Table1[[#This Row],[Total% (25-29)]]</f>
        <v>0</v>
      </c>
      <c r="DU208" s="1">
        <f>$CT208*Table1[[#This Row],[Female% (25-29)]]</f>
        <v>0</v>
      </c>
      <c r="DV208" s="1">
        <f>$CU208*Table1[[#This Row],[Male% (25-29)]]</f>
        <v>0</v>
      </c>
      <c r="DW208" s="1">
        <f>$AF208*Table1[[#This Row],[Total%   (30-34)]]</f>
        <v>0</v>
      </c>
      <c r="DX208" s="1">
        <f>$CT208*Table1[[#This Row],[Female%   (30-34)]]</f>
        <v>0</v>
      </c>
      <c r="DY208" s="1">
        <f>$CU208*Table1[[#This Row],[Male%  (30-34)]]</f>
        <v>0</v>
      </c>
      <c r="DZ208" s="1">
        <f>$AF208*Table1[[#This Row],[Total% (35-39)]]</f>
        <v>0</v>
      </c>
      <c r="EA208" s="1">
        <f>$CT208*Table1[[#This Row],[Female% (35-39)]]</f>
        <v>0</v>
      </c>
      <c r="EB208" s="1">
        <f>$CU208*Table1[[#This Row],[Male% (35-39)]]</f>
        <v>0</v>
      </c>
      <c r="EC208" s="1">
        <f>$AF208*Table1[[#This Row],[Total% (40-44)]]</f>
        <v>0</v>
      </c>
      <c r="ED208" s="1">
        <f>$CT208*Table1[[#This Row],[Female% (40-44)]]</f>
        <v>0</v>
      </c>
      <c r="EE208" s="1">
        <f>$CU208*Table1[[#This Row],[Male%(55-59)]]</f>
        <v>0</v>
      </c>
      <c r="EF208" s="1">
        <f>$AF208*Table1[[#This Row],[Total% (45-49)]]</f>
        <v>0</v>
      </c>
      <c r="EG208" s="1">
        <f>$CT208*Table1[[#This Row],[Female% (45-49)]]</f>
        <v>0</v>
      </c>
      <c r="EH208" s="1">
        <f>$CU208*Table1[[#This Row],[Male% (45-49)]]</f>
        <v>0</v>
      </c>
      <c r="EI208" s="1">
        <f>$AF208*Table1[[#This Row],[Total% (50-54)]]</f>
        <v>0</v>
      </c>
      <c r="EJ208" s="1">
        <f>$CT208*Table1[[#This Row],[Female%(50-54)]]</f>
        <v>0</v>
      </c>
      <c r="EK208" s="1">
        <f>$CU208*Table1[[#This Row],[Male% (50-54)]]</f>
        <v>0</v>
      </c>
      <c r="EL208" s="1">
        <f>$AF208*Table1[[#This Row],[Total% (55-59)]]</f>
        <v>0</v>
      </c>
      <c r="EM208" s="1">
        <f>$CT208*Table1[[#This Row],[Female% (55-59)]]</f>
        <v>0</v>
      </c>
      <c r="EN208" s="1">
        <f>$CU208*Table1[[#This Row],[Male% (55-59)]]</f>
        <v>0</v>
      </c>
      <c r="EO208" s="1">
        <f>$AF208*Table1[[#This Row],[Total% (60-64)]]</f>
        <v>0</v>
      </c>
      <c r="EP208" s="1">
        <f>$CT208*Table1[[#This Row],[Female%(60-64)]]</f>
        <v>0</v>
      </c>
      <c r="EQ208" s="1">
        <f>$CU208*Table1[[#This Row],[Male%(60-64)]]</f>
        <v>0</v>
      </c>
      <c r="ER208" s="1">
        <f>$AF208*Table1[[#This Row],[Total% (&gt;=65)]]</f>
        <v>0</v>
      </c>
      <c r="ES208" s="1">
        <f>$CT208*Table1[[#This Row],[Female%(&gt;=65)]]</f>
        <v>0</v>
      </c>
      <c r="ET208" s="1">
        <f>$CU208*Table1[[#This Row],[Male% (&gt;=65)]]</f>
        <v>0</v>
      </c>
    </row>
    <row r="209" spans="1:150" hidden="1" x14ac:dyDescent="0.35">
      <c r="A209" t="s">
        <v>6</v>
      </c>
      <c r="B209" t="s">
        <v>7</v>
      </c>
      <c r="C209" t="s">
        <v>6</v>
      </c>
      <c r="D209" t="s">
        <v>34</v>
      </c>
      <c r="E209" t="s">
        <v>48</v>
      </c>
      <c r="F209" t="s">
        <v>49</v>
      </c>
      <c r="H209">
        <v>2</v>
      </c>
      <c r="I209" s="1">
        <v>209</v>
      </c>
      <c r="J209" s="1">
        <v>20601</v>
      </c>
      <c r="K209" s="1">
        <v>848</v>
      </c>
      <c r="L209" s="1">
        <v>0</v>
      </c>
      <c r="M209" s="1">
        <v>0</v>
      </c>
      <c r="N209" s="1">
        <v>848</v>
      </c>
      <c r="O209" s="3">
        <v>1</v>
      </c>
      <c r="P209" s="3">
        <v>0</v>
      </c>
      <c r="Q209" s="3">
        <v>0</v>
      </c>
      <c r="R209" s="3">
        <v>0</v>
      </c>
      <c r="S209" s="3">
        <v>0</v>
      </c>
      <c r="T209" s="1">
        <v>21658</v>
      </c>
      <c r="U209" s="1">
        <v>0</v>
      </c>
      <c r="V209" s="10">
        <f>Table1[[#This Row],[Pop NW+RATAA]]*Table1[[#This Row],[Perc_pop_Northern_Aleppo]]</f>
        <v>0</v>
      </c>
      <c r="W209" s="10">
        <f>Table1[[#This Row],[Pop NW+RATAA]]*Table1[[#This Row],[Perc_pop_Afrin District]]</f>
        <v>0</v>
      </c>
      <c r="X209" s="10">
        <f>Table1[[#This Row],[Pop NW+RATAA]]*Table1[[#This Row],[Perc_pop_Euphrates Shiled]]</f>
        <v>0</v>
      </c>
      <c r="Y209" s="10">
        <f>Table1[[#This Row],[Pop NW+RATAA]]*Table1[[#This Row],[Perc_Pop_Idleb_NSAG]]</f>
        <v>0</v>
      </c>
      <c r="Z209" s="3">
        <v>0</v>
      </c>
      <c r="AA209" s="3">
        <v>0</v>
      </c>
      <c r="AB209" s="3">
        <v>0</v>
      </c>
      <c r="AC209" s="3">
        <v>0</v>
      </c>
      <c r="AD209" s="1">
        <v>848</v>
      </c>
      <c r="AE209" s="1">
        <v>0</v>
      </c>
      <c r="AF209" s="1">
        <v>0</v>
      </c>
      <c r="AG209" s="1">
        <v>0</v>
      </c>
      <c r="AH209" s="1">
        <v>0</v>
      </c>
      <c r="AI209" s="1">
        <f>Table1[[#This Row],[NWS_pin]]*Table1[[#This Row],[Perc_pop_Northern_Aleppo]]</f>
        <v>0</v>
      </c>
      <c r="AJ209" s="1">
        <f>Table1[[#This Row],[NWS_pin]]*Table1[[#This Row],[Perc_pop_Afrin District]]</f>
        <v>0</v>
      </c>
      <c r="AK209" s="1">
        <f>Table1[[#This Row],[NWS_pin]]*Table1[[#This Row],[Perc_pop_Euphrates Shiled]]</f>
        <v>0</v>
      </c>
      <c r="AL209" s="1">
        <f>Table1[[#This Row],[NWS_pin]]*Table1[[#This Row],[Perc_Pop_Idleb_NSAG]]</f>
        <v>0</v>
      </c>
      <c r="AM209" s="4">
        <v>0.50921436917117502</v>
      </c>
      <c r="AN209" s="4">
        <v>0.49078563082882498</v>
      </c>
      <c r="AO209" s="4">
        <v>0.167959453748804</v>
      </c>
      <c r="AP209" s="4">
        <v>0.45051325015881899</v>
      </c>
      <c r="AQ209" s="4">
        <v>0.501396590597465</v>
      </c>
      <c r="AR209" s="4">
        <v>5.8818263905802996E-3</v>
      </c>
      <c r="AS209" s="4">
        <v>0</v>
      </c>
      <c r="AT209" s="4">
        <v>4.2208332853136001E-2</v>
      </c>
      <c r="AU209" s="4">
        <v>2.7889328105625201E-2</v>
      </c>
      <c r="AV209" s="4">
        <v>2.63613685138996E-2</v>
      </c>
      <c r="AW209" s="4">
        <v>2.9474661764040701E-2</v>
      </c>
      <c r="AX209" s="4">
        <v>4.2507272354659099E-2</v>
      </c>
      <c r="AY209" s="4">
        <v>5.2175233196039998E-2</v>
      </c>
      <c r="AZ209" s="4">
        <v>3.2476284746685499E-2</v>
      </c>
      <c r="BA209" s="4">
        <v>4.7847556642407398E-2</v>
      </c>
      <c r="BB209" s="4">
        <v>2.5357585241161301E-2</v>
      </c>
      <c r="BC209" s="4">
        <v>7.1182014459403906E-2</v>
      </c>
      <c r="BD209" s="4">
        <v>5.3342920264092798E-2</v>
      </c>
      <c r="BE209" s="4">
        <v>6.4336509212153295E-2</v>
      </c>
      <c r="BF209" s="4">
        <v>4.19365279219618E-2</v>
      </c>
      <c r="BG209" s="4">
        <v>5.3528570957141197E-2</v>
      </c>
      <c r="BH209" s="4">
        <v>5.0368743903808702E-2</v>
      </c>
      <c r="BI209" s="4">
        <v>5.6807047828877397E-2</v>
      </c>
      <c r="BJ209" s="4">
        <v>8.4107012977556295E-2</v>
      </c>
      <c r="BK209" s="4">
        <v>9.88947314908009E-2</v>
      </c>
      <c r="BL209" s="4">
        <v>6.8764023531255394E-2</v>
      </c>
      <c r="BM209" s="4">
        <v>4.0439080099842199E-2</v>
      </c>
      <c r="BN209" s="4">
        <v>5.7148562674764598E-2</v>
      </c>
      <c r="BO209" s="4">
        <v>2.3102165377631202E-2</v>
      </c>
      <c r="BP209" s="4">
        <v>7.8066720751107099E-2</v>
      </c>
      <c r="BQ209" s="4">
        <v>7.6819880053003206E-2</v>
      </c>
      <c r="BR209" s="4">
        <v>7.9360379651571805E-2</v>
      </c>
      <c r="BS209" s="4">
        <v>0.121059285506725</v>
      </c>
      <c r="BT209" s="4">
        <v>0.105093029220833</v>
      </c>
      <c r="BU209" s="4">
        <v>0.137625066189658</v>
      </c>
      <c r="BV209" s="4">
        <v>7.9585407575990599E-2</v>
      </c>
      <c r="BW209" s="4">
        <v>6.4681872752880898E-2</v>
      </c>
      <c r="BX209" s="4">
        <v>9.5048562172742407E-2</v>
      </c>
      <c r="BY209" s="4">
        <v>8.7683630001823304E-2</v>
      </c>
      <c r="BZ209" s="4">
        <v>9.4539971888443805E-2</v>
      </c>
      <c r="CA209" s="4">
        <v>8.0569836138866799E-2</v>
      </c>
      <c r="CB209" s="4">
        <v>5.6291120289545402E-2</v>
      </c>
      <c r="CC209" s="4">
        <v>4.67411133964174E-2</v>
      </c>
      <c r="CD209" s="4">
        <v>6.6199724841500399E-2</v>
      </c>
      <c r="CE209" s="4">
        <v>5.68384289579612E-2</v>
      </c>
      <c r="CF209" s="4">
        <v>6.1565597167972899E-2</v>
      </c>
      <c r="CG209" s="4">
        <v>5.1933758106123197E-2</v>
      </c>
      <c r="CH209" s="4">
        <v>5.7312035847848497E-2</v>
      </c>
      <c r="CI209" s="4">
        <v>7.3975466539021095E-2</v>
      </c>
      <c r="CJ209" s="4">
        <v>4.0022902233028998E-2</v>
      </c>
      <c r="CK209" s="4">
        <v>7.4571441184906703E-2</v>
      </c>
      <c r="CL209" s="4">
        <v>6.14315475406556E-2</v>
      </c>
      <c r="CM209" s="4">
        <v>8.8204730818374599E-2</v>
      </c>
      <c r="CN209" s="4">
        <v>1.37293098216955E-2</v>
      </c>
      <c r="CO209" s="4">
        <v>1.8846242568922901E-2</v>
      </c>
      <c r="CP209" s="4">
        <v>8.4202389824160097E-3</v>
      </c>
      <c r="CQ209" s="4">
        <v>2.52008786610728E-2</v>
      </c>
      <c r="CR209" s="4">
        <v>2.1662544639220498E-2</v>
      </c>
      <c r="CS209" s="4">
        <v>2.8872075235861699E-2</v>
      </c>
      <c r="CT209" s="1">
        <f>Table1[[#This Row],[Female %]]*Table1[[#This Row],[NWS_pin]]</f>
        <v>0</v>
      </c>
      <c r="CU209" s="1">
        <f>Table1[[#This Row],[Male %]]*Table1[[#This Row],[NWS_pin]]</f>
        <v>0</v>
      </c>
      <c r="CV209" s="1">
        <f>Table1[[#This Row],[Female% (0-2)22]]+Table1[[#This Row],[Male%(0-2)3]]</f>
        <v>0</v>
      </c>
      <c r="CW209" s="1">
        <f>$CT209*Table1[[#This Row],[Female% (0-2)]]</f>
        <v>0</v>
      </c>
      <c r="CX209" s="1">
        <f>$CU209*Table1[[#This Row],[Male%(0-2)]]</f>
        <v>0</v>
      </c>
      <c r="CY209" s="1">
        <f>Table1[[#This Row],[Female%  (3-5)5]]+Table1[[#This Row],[Male% (3-5)6]]</f>
        <v>0</v>
      </c>
      <c r="CZ209" s="1">
        <f>$AF209*Table1[[#This Row],[Female%  (3-5)]]</f>
        <v>0</v>
      </c>
      <c r="DA209" s="1">
        <f>$CU209*Table1[[#This Row],[Male% (3-5)]]</f>
        <v>0</v>
      </c>
      <c r="DB209" s="1">
        <f>Table1[[#This Row],[Female% (6-8)8]]+Table1[[#This Row],[Male%(6-8)9]]</f>
        <v>0</v>
      </c>
      <c r="DC209" s="1">
        <f>$CT209*Table1[[#This Row],[Female% (6-8)]]</f>
        <v>0</v>
      </c>
      <c r="DD209" s="1">
        <f>$CU209*Table1[[#This Row],[Male%(6-8)]]</f>
        <v>0</v>
      </c>
      <c r="DE209" s="1">
        <f>Table1[[#This Row],[Female% (9 - 11)11]]+Table1[[#This Row],[Male% (9 - 11)12]]</f>
        <v>0</v>
      </c>
      <c r="DF209" s="1">
        <f>$CT209*Table1[[#This Row],[Female% (9 - 11)]]</f>
        <v>0</v>
      </c>
      <c r="DG209" s="1">
        <f>$CU209*Table1[[#This Row],[Male% (9 - 11)]]</f>
        <v>0</v>
      </c>
      <c r="DH209" s="1">
        <f>Table1[[#This Row],[Female% (12-14)14]]+Table1[[#This Row],[Male%(12-14)15]]</f>
        <v>0</v>
      </c>
      <c r="DI209" s="1">
        <f>$CT209*Table1[[#This Row],[Female% (12-14)]]</f>
        <v>0</v>
      </c>
      <c r="DJ209" s="1">
        <f>$CU209*Table1[[#This Row],[Male%(12-14)]]</f>
        <v>0</v>
      </c>
      <c r="DK209" s="1">
        <f>Table1[[#This Row],[Female% (15-17)17]]+Table1[[#This Row],[Male%(15-17)18]]</f>
        <v>0</v>
      </c>
      <c r="DL209" s="1">
        <f>$CT209*Table1[[#This Row],[Female% (15-17)]]</f>
        <v>0</v>
      </c>
      <c r="DM209" s="1">
        <f>$CU209*Table1[[#This Row],[Male%(15-17)]]</f>
        <v>0</v>
      </c>
      <c r="DN209" s="1">
        <f>$AF209*Table1[[#This Row],[Total% (18-19)]]</f>
        <v>0</v>
      </c>
      <c r="DO209" s="1">
        <f>$CT209*Table1[[#This Row],[Female% (18-19)]]</f>
        <v>0</v>
      </c>
      <c r="DP209" s="1">
        <f>$CU209*Table1[[#This Row],[Male%(18-19)]]</f>
        <v>0</v>
      </c>
      <c r="DQ209" s="1">
        <f>$AF209*Table1[[#This Row],[Total% (20-24)]]</f>
        <v>0</v>
      </c>
      <c r="DR209" s="1">
        <f>$CT209*Table1[[#This Row],[Female% (20-24)]]</f>
        <v>0</v>
      </c>
      <c r="DS209" s="1">
        <f>$CU209*Table1[[#This Row],[Male% (20-24)]]</f>
        <v>0</v>
      </c>
      <c r="DT209" s="1">
        <f>$AF209*Table1[[#This Row],[Total% (25-29)]]</f>
        <v>0</v>
      </c>
      <c r="DU209" s="1">
        <f>$CT209*Table1[[#This Row],[Female% (25-29)]]</f>
        <v>0</v>
      </c>
      <c r="DV209" s="1">
        <f>$CU209*Table1[[#This Row],[Male% (25-29)]]</f>
        <v>0</v>
      </c>
      <c r="DW209" s="1">
        <f>$AF209*Table1[[#This Row],[Total%   (30-34)]]</f>
        <v>0</v>
      </c>
      <c r="DX209" s="1">
        <f>$CT209*Table1[[#This Row],[Female%   (30-34)]]</f>
        <v>0</v>
      </c>
      <c r="DY209" s="1">
        <f>$CU209*Table1[[#This Row],[Male%  (30-34)]]</f>
        <v>0</v>
      </c>
      <c r="DZ209" s="1">
        <f>$AF209*Table1[[#This Row],[Total% (35-39)]]</f>
        <v>0</v>
      </c>
      <c r="EA209" s="1">
        <f>$CT209*Table1[[#This Row],[Female% (35-39)]]</f>
        <v>0</v>
      </c>
      <c r="EB209" s="1">
        <f>$CU209*Table1[[#This Row],[Male% (35-39)]]</f>
        <v>0</v>
      </c>
      <c r="EC209" s="1">
        <f>$AF209*Table1[[#This Row],[Total% (40-44)]]</f>
        <v>0</v>
      </c>
      <c r="ED209" s="1">
        <f>$CT209*Table1[[#This Row],[Female% (40-44)]]</f>
        <v>0</v>
      </c>
      <c r="EE209" s="1">
        <f>$CU209*Table1[[#This Row],[Male%(55-59)]]</f>
        <v>0</v>
      </c>
      <c r="EF209" s="1">
        <f>$AF209*Table1[[#This Row],[Total% (45-49)]]</f>
        <v>0</v>
      </c>
      <c r="EG209" s="1">
        <f>$CT209*Table1[[#This Row],[Female% (45-49)]]</f>
        <v>0</v>
      </c>
      <c r="EH209" s="1">
        <f>$CU209*Table1[[#This Row],[Male% (45-49)]]</f>
        <v>0</v>
      </c>
      <c r="EI209" s="1">
        <f>$AF209*Table1[[#This Row],[Total% (50-54)]]</f>
        <v>0</v>
      </c>
      <c r="EJ209" s="1">
        <f>$CT209*Table1[[#This Row],[Female%(50-54)]]</f>
        <v>0</v>
      </c>
      <c r="EK209" s="1">
        <f>$CU209*Table1[[#This Row],[Male% (50-54)]]</f>
        <v>0</v>
      </c>
      <c r="EL209" s="1">
        <f>$AF209*Table1[[#This Row],[Total% (55-59)]]</f>
        <v>0</v>
      </c>
      <c r="EM209" s="1">
        <f>$CT209*Table1[[#This Row],[Female% (55-59)]]</f>
        <v>0</v>
      </c>
      <c r="EN209" s="1">
        <f>$CU209*Table1[[#This Row],[Male% (55-59)]]</f>
        <v>0</v>
      </c>
      <c r="EO209" s="1">
        <f>$AF209*Table1[[#This Row],[Total% (60-64)]]</f>
        <v>0</v>
      </c>
      <c r="EP209" s="1">
        <f>$CT209*Table1[[#This Row],[Female%(60-64)]]</f>
        <v>0</v>
      </c>
      <c r="EQ209" s="1">
        <f>$CU209*Table1[[#This Row],[Male%(60-64)]]</f>
        <v>0</v>
      </c>
      <c r="ER209" s="1">
        <f>$AF209*Table1[[#This Row],[Total% (&gt;=65)]]</f>
        <v>0</v>
      </c>
      <c r="ES209" s="1">
        <f>$CT209*Table1[[#This Row],[Female%(&gt;=65)]]</f>
        <v>0</v>
      </c>
      <c r="ET209" s="1">
        <f>$CU209*Table1[[#This Row],[Male% (&gt;=65)]]</f>
        <v>0</v>
      </c>
    </row>
    <row r="210" spans="1:150" hidden="1" x14ac:dyDescent="0.35">
      <c r="A210" t="s">
        <v>6</v>
      </c>
      <c r="B210" t="s">
        <v>7</v>
      </c>
      <c r="C210" t="s">
        <v>78</v>
      </c>
      <c r="D210" t="s">
        <v>79</v>
      </c>
      <c r="E210" t="s">
        <v>78</v>
      </c>
      <c r="F210" t="s">
        <v>110</v>
      </c>
      <c r="H210">
        <v>2</v>
      </c>
      <c r="I210" s="1">
        <v>0</v>
      </c>
      <c r="J210" s="1">
        <v>87226</v>
      </c>
      <c r="K210" s="1">
        <v>22042</v>
      </c>
      <c r="L210" s="1">
        <v>0</v>
      </c>
      <c r="M210" s="1">
        <v>0</v>
      </c>
      <c r="N210" s="1">
        <v>22042</v>
      </c>
      <c r="O210" s="3">
        <v>1</v>
      </c>
      <c r="P210" s="3">
        <v>0</v>
      </c>
      <c r="Q210" s="3">
        <v>0</v>
      </c>
      <c r="R210" s="3">
        <v>0</v>
      </c>
      <c r="S210" s="3">
        <v>0</v>
      </c>
      <c r="T210" s="1">
        <v>109268</v>
      </c>
      <c r="U210" s="1">
        <v>0</v>
      </c>
      <c r="V210" s="10">
        <f>Table1[[#This Row],[Pop NW+RATAA]]*Table1[[#This Row],[Perc_pop_Northern_Aleppo]]</f>
        <v>0</v>
      </c>
      <c r="W210" s="10">
        <f>Table1[[#This Row],[Pop NW+RATAA]]*Table1[[#This Row],[Perc_pop_Afrin District]]</f>
        <v>0</v>
      </c>
      <c r="X210" s="10">
        <f>Table1[[#This Row],[Pop NW+RATAA]]*Table1[[#This Row],[Perc_pop_Euphrates Shiled]]</f>
        <v>0</v>
      </c>
      <c r="Y210" s="10">
        <f>Table1[[#This Row],[Pop NW+RATAA]]*Table1[[#This Row],[Perc_Pop_Idleb_NSAG]]</f>
        <v>0</v>
      </c>
      <c r="Z210" s="3">
        <v>0</v>
      </c>
      <c r="AA210" s="3">
        <v>0</v>
      </c>
      <c r="AB210" s="3">
        <v>0</v>
      </c>
      <c r="AC210" s="3">
        <v>0</v>
      </c>
      <c r="AD210" s="1">
        <v>22042</v>
      </c>
      <c r="AE210" s="1">
        <v>0</v>
      </c>
      <c r="AF210" s="1">
        <v>0</v>
      </c>
      <c r="AG210" s="1">
        <v>0</v>
      </c>
      <c r="AH210" s="1">
        <v>0</v>
      </c>
      <c r="AI210" s="1">
        <f>Table1[[#This Row],[NWS_pin]]*Table1[[#This Row],[Perc_pop_Northern_Aleppo]]</f>
        <v>0</v>
      </c>
      <c r="AJ210" s="1">
        <f>Table1[[#This Row],[NWS_pin]]*Table1[[#This Row],[Perc_pop_Afrin District]]</f>
        <v>0</v>
      </c>
      <c r="AK210" s="1">
        <f>Table1[[#This Row],[NWS_pin]]*Table1[[#This Row],[Perc_pop_Euphrates Shiled]]</f>
        <v>0</v>
      </c>
      <c r="AL210" s="1">
        <f>Table1[[#This Row],[NWS_pin]]*Table1[[#This Row],[Perc_Pop_Idleb_NSAG]]</f>
        <v>0</v>
      </c>
      <c r="AM210" s="4">
        <v>0.50198766238331005</v>
      </c>
      <c r="AN210" s="4">
        <v>0.49801233761669</v>
      </c>
      <c r="AO210" s="4">
        <v>0.23342699732125599</v>
      </c>
      <c r="AP210" s="4">
        <v>0.48037608563906697</v>
      </c>
      <c r="AQ210" s="4">
        <v>0.50141716834589301</v>
      </c>
      <c r="AR210" s="4">
        <v>0</v>
      </c>
      <c r="AS210" s="4">
        <v>0</v>
      </c>
      <c r="AT210" s="4">
        <v>1.82067460150401E-2</v>
      </c>
      <c r="AU210" s="4">
        <v>3.1272271867704697E-2</v>
      </c>
      <c r="AV210" s="4">
        <v>1.43595768576373E-2</v>
      </c>
      <c r="AW210" s="4">
        <v>4.8319970471589903E-2</v>
      </c>
      <c r="AX210" s="4">
        <v>1.2320019448279E-2</v>
      </c>
      <c r="AY210" s="4">
        <v>8.6209563943912999E-3</v>
      </c>
      <c r="AZ210" s="4">
        <v>1.60486098368543E-2</v>
      </c>
      <c r="BA210" s="4">
        <v>2.5983784474304501E-2</v>
      </c>
      <c r="BB210" s="4">
        <v>1.6172022963805498E-2</v>
      </c>
      <c r="BC210" s="4">
        <v>3.5873867214200203E-2</v>
      </c>
      <c r="BD210" s="4">
        <v>3.29412108040366E-2</v>
      </c>
      <c r="BE210" s="4">
        <v>7.9342506564152801E-3</v>
      </c>
      <c r="BF210" s="4">
        <v>5.8147786062577499E-2</v>
      </c>
      <c r="BG210" s="4">
        <v>4.5903724595043202E-2</v>
      </c>
      <c r="BH210" s="4">
        <v>4.8131559382358802E-2</v>
      </c>
      <c r="BI210" s="4">
        <v>4.36581063792119E-2</v>
      </c>
      <c r="BJ210" s="4">
        <v>6.4049991217439206E-2</v>
      </c>
      <c r="BK210" s="4">
        <v>8.5090587798630796E-2</v>
      </c>
      <c r="BL210" s="4">
        <v>4.2841440554840703E-2</v>
      </c>
      <c r="BM210" s="4">
        <v>5.1264275791132498E-2</v>
      </c>
      <c r="BN210" s="4">
        <v>8.06685684797359E-2</v>
      </c>
      <c r="BO210" s="4">
        <v>2.1625266803070999E-2</v>
      </c>
      <c r="BP210" s="4">
        <v>0.120061874380196</v>
      </c>
      <c r="BQ210" s="4">
        <v>0.13483897927327801</v>
      </c>
      <c r="BR210" s="4">
        <v>0.10516681298960701</v>
      </c>
      <c r="BS210" s="4">
        <v>0.16517119936743499</v>
      </c>
      <c r="BT210" s="4">
        <v>0.15240059300296899</v>
      </c>
      <c r="BU210" s="4">
        <v>0.17804374559148101</v>
      </c>
      <c r="BV210" s="4">
        <v>4.2547951222189302E-2</v>
      </c>
      <c r="BW210" s="4">
        <v>3.59236909731857E-2</v>
      </c>
      <c r="BX210" s="4">
        <v>4.92250888475936E-2</v>
      </c>
      <c r="BY210" s="4">
        <v>5.8270845917540802E-2</v>
      </c>
      <c r="BZ210" s="4">
        <v>6.5479688752509493E-2</v>
      </c>
      <c r="CA210" s="4">
        <v>5.1004459344604403E-2</v>
      </c>
      <c r="CB210" s="4">
        <v>5.1698723472674103E-2</v>
      </c>
      <c r="CC210" s="4">
        <v>5.1027332350906097E-2</v>
      </c>
      <c r="CD210" s="4">
        <v>5.2375473894910901E-2</v>
      </c>
      <c r="CE210" s="4">
        <v>7.2319088882269095E-2</v>
      </c>
      <c r="CF210" s="4">
        <v>8.7919221284376903E-2</v>
      </c>
      <c r="CG210" s="4">
        <v>5.6594430262603197E-2</v>
      </c>
      <c r="CH210" s="4">
        <v>8.1389377267795798E-2</v>
      </c>
      <c r="CI210" s="4">
        <v>8.5335516653859605E-2</v>
      </c>
      <c r="CJ210" s="4">
        <v>7.7411738289354395E-2</v>
      </c>
      <c r="CK210" s="4">
        <v>0.10000159224065799</v>
      </c>
      <c r="CL210" s="4">
        <v>8.2830788896235602E-2</v>
      </c>
      <c r="CM210" s="4">
        <v>0.11730945949824501</v>
      </c>
      <c r="CN210" s="4">
        <v>2.7023811293694199E-2</v>
      </c>
      <c r="CO210" s="4">
        <v>1.2854308739152101E-2</v>
      </c>
      <c r="CP210" s="4">
        <v>4.1306420231715303E-2</v>
      </c>
      <c r="CQ210" s="4">
        <v>1.7780257757607599E-2</v>
      </c>
      <c r="CR210" s="4">
        <v>3.0412357540552298E-2</v>
      </c>
      <c r="CS210" s="4">
        <v>5.04732372753979E-3</v>
      </c>
      <c r="CT210" s="1">
        <f>Table1[[#This Row],[Female %]]*Table1[[#This Row],[NWS_pin]]</f>
        <v>0</v>
      </c>
      <c r="CU210" s="1">
        <f>Table1[[#This Row],[Male %]]*Table1[[#This Row],[NWS_pin]]</f>
        <v>0</v>
      </c>
      <c r="CV210" s="1">
        <f>Table1[[#This Row],[Female% (0-2)22]]+Table1[[#This Row],[Male%(0-2)3]]</f>
        <v>0</v>
      </c>
      <c r="CW210" s="1">
        <f>$CT210*Table1[[#This Row],[Female% (0-2)]]</f>
        <v>0</v>
      </c>
      <c r="CX210" s="1">
        <f>$CU210*Table1[[#This Row],[Male%(0-2)]]</f>
        <v>0</v>
      </c>
      <c r="CY210" s="1">
        <f>Table1[[#This Row],[Female%  (3-5)5]]+Table1[[#This Row],[Male% (3-5)6]]</f>
        <v>0</v>
      </c>
      <c r="CZ210" s="1">
        <f>$AF210*Table1[[#This Row],[Female%  (3-5)]]</f>
        <v>0</v>
      </c>
      <c r="DA210" s="1">
        <f>$CU210*Table1[[#This Row],[Male% (3-5)]]</f>
        <v>0</v>
      </c>
      <c r="DB210" s="1">
        <f>Table1[[#This Row],[Female% (6-8)8]]+Table1[[#This Row],[Male%(6-8)9]]</f>
        <v>0</v>
      </c>
      <c r="DC210" s="1">
        <f>$CT210*Table1[[#This Row],[Female% (6-8)]]</f>
        <v>0</v>
      </c>
      <c r="DD210" s="1">
        <f>$CU210*Table1[[#This Row],[Male%(6-8)]]</f>
        <v>0</v>
      </c>
      <c r="DE210" s="1">
        <f>Table1[[#This Row],[Female% (9 - 11)11]]+Table1[[#This Row],[Male% (9 - 11)12]]</f>
        <v>0</v>
      </c>
      <c r="DF210" s="1">
        <f>$CT210*Table1[[#This Row],[Female% (9 - 11)]]</f>
        <v>0</v>
      </c>
      <c r="DG210" s="1">
        <f>$CU210*Table1[[#This Row],[Male% (9 - 11)]]</f>
        <v>0</v>
      </c>
      <c r="DH210" s="1">
        <f>Table1[[#This Row],[Female% (12-14)14]]+Table1[[#This Row],[Male%(12-14)15]]</f>
        <v>0</v>
      </c>
      <c r="DI210" s="1">
        <f>$CT210*Table1[[#This Row],[Female% (12-14)]]</f>
        <v>0</v>
      </c>
      <c r="DJ210" s="1">
        <f>$CU210*Table1[[#This Row],[Male%(12-14)]]</f>
        <v>0</v>
      </c>
      <c r="DK210" s="1">
        <f>Table1[[#This Row],[Female% (15-17)17]]+Table1[[#This Row],[Male%(15-17)18]]</f>
        <v>0</v>
      </c>
      <c r="DL210" s="1">
        <f>$CT210*Table1[[#This Row],[Female% (15-17)]]</f>
        <v>0</v>
      </c>
      <c r="DM210" s="1">
        <f>$CU210*Table1[[#This Row],[Male%(15-17)]]</f>
        <v>0</v>
      </c>
      <c r="DN210" s="1">
        <f>$AF210*Table1[[#This Row],[Total% (18-19)]]</f>
        <v>0</v>
      </c>
      <c r="DO210" s="1">
        <f>$CT210*Table1[[#This Row],[Female% (18-19)]]</f>
        <v>0</v>
      </c>
      <c r="DP210" s="1">
        <f>$CU210*Table1[[#This Row],[Male%(18-19)]]</f>
        <v>0</v>
      </c>
      <c r="DQ210" s="1">
        <f>$AF210*Table1[[#This Row],[Total% (20-24)]]</f>
        <v>0</v>
      </c>
      <c r="DR210" s="1">
        <f>$CT210*Table1[[#This Row],[Female% (20-24)]]</f>
        <v>0</v>
      </c>
      <c r="DS210" s="1">
        <f>$CU210*Table1[[#This Row],[Male% (20-24)]]</f>
        <v>0</v>
      </c>
      <c r="DT210" s="1">
        <f>$AF210*Table1[[#This Row],[Total% (25-29)]]</f>
        <v>0</v>
      </c>
      <c r="DU210" s="1">
        <f>$CT210*Table1[[#This Row],[Female% (25-29)]]</f>
        <v>0</v>
      </c>
      <c r="DV210" s="1">
        <f>$CU210*Table1[[#This Row],[Male% (25-29)]]</f>
        <v>0</v>
      </c>
      <c r="DW210" s="1">
        <f>$AF210*Table1[[#This Row],[Total%   (30-34)]]</f>
        <v>0</v>
      </c>
      <c r="DX210" s="1">
        <f>$CT210*Table1[[#This Row],[Female%   (30-34)]]</f>
        <v>0</v>
      </c>
      <c r="DY210" s="1">
        <f>$CU210*Table1[[#This Row],[Male%  (30-34)]]</f>
        <v>0</v>
      </c>
      <c r="DZ210" s="1">
        <f>$AF210*Table1[[#This Row],[Total% (35-39)]]</f>
        <v>0</v>
      </c>
      <c r="EA210" s="1">
        <f>$CT210*Table1[[#This Row],[Female% (35-39)]]</f>
        <v>0</v>
      </c>
      <c r="EB210" s="1">
        <f>$CU210*Table1[[#This Row],[Male% (35-39)]]</f>
        <v>0</v>
      </c>
      <c r="EC210" s="1">
        <f>$AF210*Table1[[#This Row],[Total% (40-44)]]</f>
        <v>0</v>
      </c>
      <c r="ED210" s="1">
        <f>$CT210*Table1[[#This Row],[Female% (40-44)]]</f>
        <v>0</v>
      </c>
      <c r="EE210" s="1">
        <f>$CU210*Table1[[#This Row],[Male%(55-59)]]</f>
        <v>0</v>
      </c>
      <c r="EF210" s="1">
        <f>$AF210*Table1[[#This Row],[Total% (45-49)]]</f>
        <v>0</v>
      </c>
      <c r="EG210" s="1">
        <f>$CT210*Table1[[#This Row],[Female% (45-49)]]</f>
        <v>0</v>
      </c>
      <c r="EH210" s="1">
        <f>$CU210*Table1[[#This Row],[Male% (45-49)]]</f>
        <v>0</v>
      </c>
      <c r="EI210" s="1">
        <f>$AF210*Table1[[#This Row],[Total% (50-54)]]</f>
        <v>0</v>
      </c>
      <c r="EJ210" s="1">
        <f>$CT210*Table1[[#This Row],[Female%(50-54)]]</f>
        <v>0</v>
      </c>
      <c r="EK210" s="1">
        <f>$CU210*Table1[[#This Row],[Male% (50-54)]]</f>
        <v>0</v>
      </c>
      <c r="EL210" s="1">
        <f>$AF210*Table1[[#This Row],[Total% (55-59)]]</f>
        <v>0</v>
      </c>
      <c r="EM210" s="1">
        <f>$CT210*Table1[[#This Row],[Female% (55-59)]]</f>
        <v>0</v>
      </c>
      <c r="EN210" s="1">
        <f>$CU210*Table1[[#This Row],[Male% (55-59)]]</f>
        <v>0</v>
      </c>
      <c r="EO210" s="1">
        <f>$AF210*Table1[[#This Row],[Total% (60-64)]]</f>
        <v>0</v>
      </c>
      <c r="EP210" s="1">
        <f>$CT210*Table1[[#This Row],[Female%(60-64)]]</f>
        <v>0</v>
      </c>
      <c r="EQ210" s="1">
        <f>$CU210*Table1[[#This Row],[Male%(60-64)]]</f>
        <v>0</v>
      </c>
      <c r="ER210" s="1">
        <f>$AF210*Table1[[#This Row],[Total% (&gt;=65)]]</f>
        <v>0</v>
      </c>
      <c r="ES210" s="1">
        <f>$CT210*Table1[[#This Row],[Female%(&gt;=65)]]</f>
        <v>0</v>
      </c>
      <c r="ET210" s="1">
        <f>$CU210*Table1[[#This Row],[Male% (&gt;=65)]]</f>
        <v>0</v>
      </c>
    </row>
    <row r="211" spans="1:150" hidden="1" x14ac:dyDescent="0.35">
      <c r="A211" t="s">
        <v>6</v>
      </c>
      <c r="B211" t="s">
        <v>7</v>
      </c>
      <c r="C211" t="s">
        <v>78</v>
      </c>
      <c r="D211" t="s">
        <v>79</v>
      </c>
      <c r="E211" t="s">
        <v>80</v>
      </c>
      <c r="F211" t="s">
        <v>81</v>
      </c>
      <c r="H211">
        <v>2</v>
      </c>
      <c r="I211" s="1">
        <v>132</v>
      </c>
      <c r="J211" s="1">
        <v>12173</v>
      </c>
      <c r="K211" s="1">
        <v>1323</v>
      </c>
      <c r="L211" s="1">
        <v>0</v>
      </c>
      <c r="M211" s="1">
        <v>0</v>
      </c>
      <c r="N211" s="1">
        <v>1323</v>
      </c>
      <c r="O211" s="3">
        <v>1</v>
      </c>
      <c r="P211" s="3">
        <v>0</v>
      </c>
      <c r="Q211" s="3">
        <v>0</v>
      </c>
      <c r="R211" s="3">
        <v>0</v>
      </c>
      <c r="S211" s="3">
        <v>0</v>
      </c>
      <c r="T211" s="1">
        <v>13628</v>
      </c>
      <c r="U211" s="1">
        <v>0</v>
      </c>
      <c r="V211" s="10">
        <f>Table1[[#This Row],[Pop NW+RATAA]]*Table1[[#This Row],[Perc_pop_Northern_Aleppo]]</f>
        <v>0</v>
      </c>
      <c r="W211" s="10">
        <f>Table1[[#This Row],[Pop NW+RATAA]]*Table1[[#This Row],[Perc_pop_Afrin District]]</f>
        <v>0</v>
      </c>
      <c r="X211" s="10">
        <f>Table1[[#This Row],[Pop NW+RATAA]]*Table1[[#This Row],[Perc_pop_Euphrates Shiled]]</f>
        <v>0</v>
      </c>
      <c r="Y211" s="10">
        <f>Table1[[#This Row],[Pop NW+RATAA]]*Table1[[#This Row],[Perc_Pop_Idleb_NSAG]]</f>
        <v>0</v>
      </c>
      <c r="Z211" s="3">
        <v>0</v>
      </c>
      <c r="AA211" s="3">
        <v>0</v>
      </c>
      <c r="AB211" s="3">
        <v>0</v>
      </c>
      <c r="AC211" s="3">
        <v>0</v>
      </c>
      <c r="AD211" s="1">
        <v>1323</v>
      </c>
      <c r="AE211" s="1">
        <v>0</v>
      </c>
      <c r="AF211" s="1">
        <v>0</v>
      </c>
      <c r="AG211" s="1">
        <v>0</v>
      </c>
      <c r="AH211" s="1">
        <v>0</v>
      </c>
      <c r="AI211" s="1">
        <f>Table1[[#This Row],[NWS_pin]]*Table1[[#This Row],[Perc_pop_Northern_Aleppo]]</f>
        <v>0</v>
      </c>
      <c r="AJ211" s="1">
        <f>Table1[[#This Row],[NWS_pin]]*Table1[[#This Row],[Perc_pop_Afrin District]]</f>
        <v>0</v>
      </c>
      <c r="AK211" s="1">
        <f>Table1[[#This Row],[NWS_pin]]*Table1[[#This Row],[Perc_pop_Euphrates Shiled]]</f>
        <v>0</v>
      </c>
      <c r="AL211" s="1">
        <f>Table1[[#This Row],[NWS_pin]]*Table1[[#This Row],[Perc_Pop_Idleb_NSAG]]</f>
        <v>0</v>
      </c>
      <c r="AM211" s="4">
        <v>0.48972016687686798</v>
      </c>
      <c r="AN211" s="4">
        <v>0.51027983312313197</v>
      </c>
      <c r="AO211" s="4">
        <v>0.148332711210651</v>
      </c>
      <c r="AP211" s="4">
        <v>0.41002783240164098</v>
      </c>
      <c r="AQ211" s="4">
        <v>0.54172892855197896</v>
      </c>
      <c r="AR211" s="4">
        <v>2.2718636408752902E-3</v>
      </c>
      <c r="AS211" s="4">
        <v>0</v>
      </c>
      <c r="AT211" s="4">
        <v>4.5971375405505402E-2</v>
      </c>
      <c r="AU211" s="4">
        <v>2.71684236424748E-2</v>
      </c>
      <c r="AV211" s="4">
        <v>2.0944575998686901E-2</v>
      </c>
      <c r="AW211" s="4">
        <v>3.3141506466613201E-2</v>
      </c>
      <c r="AX211" s="4">
        <v>3.9075751204906403E-2</v>
      </c>
      <c r="AY211" s="4">
        <v>2.4041823389673402E-2</v>
      </c>
      <c r="AZ211" s="4">
        <v>5.3503947579882701E-2</v>
      </c>
      <c r="BA211" s="4">
        <v>6.5563389332570499E-2</v>
      </c>
      <c r="BB211" s="4">
        <v>8.1641473426037794E-2</v>
      </c>
      <c r="BC211" s="4">
        <v>5.0133106742090101E-2</v>
      </c>
      <c r="BD211" s="4">
        <v>6.1247222628399302E-2</v>
      </c>
      <c r="BE211" s="4">
        <v>5.1831220814421701E-2</v>
      </c>
      <c r="BF211" s="4">
        <v>7.02838446548497E-2</v>
      </c>
      <c r="BG211" s="4">
        <v>8.1991243842207601E-2</v>
      </c>
      <c r="BH211" s="4">
        <v>5.8836762672452601E-2</v>
      </c>
      <c r="BI211" s="4">
        <v>0.104212808651067</v>
      </c>
      <c r="BJ211" s="4">
        <v>6.4888033575091805E-2</v>
      </c>
      <c r="BK211" s="4">
        <v>7.0698078175812196E-2</v>
      </c>
      <c r="BL211" s="4">
        <v>5.9312081270622999E-2</v>
      </c>
      <c r="BM211" s="4">
        <v>1.9159305657725601E-2</v>
      </c>
      <c r="BN211" s="4">
        <v>1.91498038687779E-2</v>
      </c>
      <c r="BO211" s="4">
        <v>1.91684246104394E-2</v>
      </c>
      <c r="BP211" s="4">
        <v>5.5821188120222E-2</v>
      </c>
      <c r="BQ211" s="4">
        <v>6.5430966555718506E-2</v>
      </c>
      <c r="BR211" s="4">
        <v>4.6598596919080998E-2</v>
      </c>
      <c r="BS211" s="4">
        <v>9.6107281084322704E-2</v>
      </c>
      <c r="BT211" s="4">
        <v>0.108803285965903</v>
      </c>
      <c r="BU211" s="4">
        <v>8.3922810474886395E-2</v>
      </c>
      <c r="BV211" s="4">
        <v>8.6365821060704603E-2</v>
      </c>
      <c r="BW211" s="4">
        <v>9.6993849513192607E-2</v>
      </c>
      <c r="BX211" s="4">
        <v>7.6166006117070501E-2</v>
      </c>
      <c r="BY211" s="4">
        <v>0.100763093474719</v>
      </c>
      <c r="BZ211" s="4">
        <v>9.2754185074015699E-2</v>
      </c>
      <c r="CA211" s="4">
        <v>0.108449315237567</v>
      </c>
      <c r="CB211" s="4">
        <v>7.4870111559976596E-2</v>
      </c>
      <c r="CC211" s="4">
        <v>8.1907480773180996E-2</v>
      </c>
      <c r="CD211" s="4">
        <v>6.8116284734465002E-2</v>
      </c>
      <c r="CE211" s="4">
        <v>7.3364820506047201E-2</v>
      </c>
      <c r="CF211" s="4">
        <v>6.2955912639264894E-2</v>
      </c>
      <c r="CG211" s="4">
        <v>8.3354343443546003E-2</v>
      </c>
      <c r="CH211" s="4">
        <v>4.0156433018905403E-2</v>
      </c>
      <c r="CI211" s="4">
        <v>5.1592068157091997E-2</v>
      </c>
      <c r="CJ211" s="4">
        <v>2.9181550641250501E-2</v>
      </c>
      <c r="CK211" s="4">
        <v>2.9653566368590002E-2</v>
      </c>
      <c r="CL211" s="4">
        <v>1.98573894842611E-2</v>
      </c>
      <c r="CM211" s="4">
        <v>3.9055045845422999E-2</v>
      </c>
      <c r="CN211" s="4">
        <v>3.7305000517086101E-2</v>
      </c>
      <c r="CO211" s="4">
        <v>5.1210489305149598E-2</v>
      </c>
      <c r="CP211" s="4">
        <v>2.39597772733691E-2</v>
      </c>
      <c r="CQ211" s="4">
        <v>4.6499314406050998E-2</v>
      </c>
      <c r="CR211" s="4">
        <v>4.1350634186359599E-2</v>
      </c>
      <c r="CS211" s="4">
        <v>5.1440549337776198E-2</v>
      </c>
      <c r="CT211" s="1">
        <f>Table1[[#This Row],[Female %]]*Table1[[#This Row],[NWS_pin]]</f>
        <v>0</v>
      </c>
      <c r="CU211" s="1">
        <f>Table1[[#This Row],[Male %]]*Table1[[#This Row],[NWS_pin]]</f>
        <v>0</v>
      </c>
      <c r="CV211" s="1">
        <f>Table1[[#This Row],[Female% (0-2)22]]+Table1[[#This Row],[Male%(0-2)3]]</f>
        <v>0</v>
      </c>
      <c r="CW211" s="1">
        <f>$CT211*Table1[[#This Row],[Female% (0-2)]]</f>
        <v>0</v>
      </c>
      <c r="CX211" s="1">
        <f>$CU211*Table1[[#This Row],[Male%(0-2)]]</f>
        <v>0</v>
      </c>
      <c r="CY211" s="1">
        <f>Table1[[#This Row],[Female%  (3-5)5]]+Table1[[#This Row],[Male% (3-5)6]]</f>
        <v>0</v>
      </c>
      <c r="CZ211" s="1">
        <f>$AF211*Table1[[#This Row],[Female%  (3-5)]]</f>
        <v>0</v>
      </c>
      <c r="DA211" s="1">
        <f>$CU211*Table1[[#This Row],[Male% (3-5)]]</f>
        <v>0</v>
      </c>
      <c r="DB211" s="1">
        <f>Table1[[#This Row],[Female% (6-8)8]]+Table1[[#This Row],[Male%(6-8)9]]</f>
        <v>0</v>
      </c>
      <c r="DC211" s="1">
        <f>$CT211*Table1[[#This Row],[Female% (6-8)]]</f>
        <v>0</v>
      </c>
      <c r="DD211" s="1">
        <f>$CU211*Table1[[#This Row],[Male%(6-8)]]</f>
        <v>0</v>
      </c>
      <c r="DE211" s="1">
        <f>Table1[[#This Row],[Female% (9 - 11)11]]+Table1[[#This Row],[Male% (9 - 11)12]]</f>
        <v>0</v>
      </c>
      <c r="DF211" s="1">
        <f>$CT211*Table1[[#This Row],[Female% (9 - 11)]]</f>
        <v>0</v>
      </c>
      <c r="DG211" s="1">
        <f>$CU211*Table1[[#This Row],[Male% (9 - 11)]]</f>
        <v>0</v>
      </c>
      <c r="DH211" s="1">
        <f>Table1[[#This Row],[Female% (12-14)14]]+Table1[[#This Row],[Male%(12-14)15]]</f>
        <v>0</v>
      </c>
      <c r="DI211" s="1">
        <f>$CT211*Table1[[#This Row],[Female% (12-14)]]</f>
        <v>0</v>
      </c>
      <c r="DJ211" s="1">
        <f>$CU211*Table1[[#This Row],[Male%(12-14)]]</f>
        <v>0</v>
      </c>
      <c r="DK211" s="1">
        <f>Table1[[#This Row],[Female% (15-17)17]]+Table1[[#This Row],[Male%(15-17)18]]</f>
        <v>0</v>
      </c>
      <c r="DL211" s="1">
        <f>$CT211*Table1[[#This Row],[Female% (15-17)]]</f>
        <v>0</v>
      </c>
      <c r="DM211" s="1">
        <f>$CU211*Table1[[#This Row],[Male%(15-17)]]</f>
        <v>0</v>
      </c>
      <c r="DN211" s="1">
        <f>$AF211*Table1[[#This Row],[Total% (18-19)]]</f>
        <v>0</v>
      </c>
      <c r="DO211" s="1">
        <f>$CT211*Table1[[#This Row],[Female% (18-19)]]</f>
        <v>0</v>
      </c>
      <c r="DP211" s="1">
        <f>$CU211*Table1[[#This Row],[Male%(18-19)]]</f>
        <v>0</v>
      </c>
      <c r="DQ211" s="1">
        <f>$AF211*Table1[[#This Row],[Total% (20-24)]]</f>
        <v>0</v>
      </c>
      <c r="DR211" s="1">
        <f>$CT211*Table1[[#This Row],[Female% (20-24)]]</f>
        <v>0</v>
      </c>
      <c r="DS211" s="1">
        <f>$CU211*Table1[[#This Row],[Male% (20-24)]]</f>
        <v>0</v>
      </c>
      <c r="DT211" s="1">
        <f>$AF211*Table1[[#This Row],[Total% (25-29)]]</f>
        <v>0</v>
      </c>
      <c r="DU211" s="1">
        <f>$CT211*Table1[[#This Row],[Female% (25-29)]]</f>
        <v>0</v>
      </c>
      <c r="DV211" s="1">
        <f>$CU211*Table1[[#This Row],[Male% (25-29)]]</f>
        <v>0</v>
      </c>
      <c r="DW211" s="1">
        <f>$AF211*Table1[[#This Row],[Total%   (30-34)]]</f>
        <v>0</v>
      </c>
      <c r="DX211" s="1">
        <f>$CT211*Table1[[#This Row],[Female%   (30-34)]]</f>
        <v>0</v>
      </c>
      <c r="DY211" s="1">
        <f>$CU211*Table1[[#This Row],[Male%  (30-34)]]</f>
        <v>0</v>
      </c>
      <c r="DZ211" s="1">
        <f>$AF211*Table1[[#This Row],[Total% (35-39)]]</f>
        <v>0</v>
      </c>
      <c r="EA211" s="1">
        <f>$CT211*Table1[[#This Row],[Female% (35-39)]]</f>
        <v>0</v>
      </c>
      <c r="EB211" s="1">
        <f>$CU211*Table1[[#This Row],[Male% (35-39)]]</f>
        <v>0</v>
      </c>
      <c r="EC211" s="1">
        <f>$AF211*Table1[[#This Row],[Total% (40-44)]]</f>
        <v>0</v>
      </c>
      <c r="ED211" s="1">
        <f>$CT211*Table1[[#This Row],[Female% (40-44)]]</f>
        <v>0</v>
      </c>
      <c r="EE211" s="1">
        <f>$CU211*Table1[[#This Row],[Male%(55-59)]]</f>
        <v>0</v>
      </c>
      <c r="EF211" s="1">
        <f>$AF211*Table1[[#This Row],[Total% (45-49)]]</f>
        <v>0</v>
      </c>
      <c r="EG211" s="1">
        <f>$CT211*Table1[[#This Row],[Female% (45-49)]]</f>
        <v>0</v>
      </c>
      <c r="EH211" s="1">
        <f>$CU211*Table1[[#This Row],[Male% (45-49)]]</f>
        <v>0</v>
      </c>
      <c r="EI211" s="1">
        <f>$AF211*Table1[[#This Row],[Total% (50-54)]]</f>
        <v>0</v>
      </c>
      <c r="EJ211" s="1">
        <f>$CT211*Table1[[#This Row],[Female%(50-54)]]</f>
        <v>0</v>
      </c>
      <c r="EK211" s="1">
        <f>$CU211*Table1[[#This Row],[Male% (50-54)]]</f>
        <v>0</v>
      </c>
      <c r="EL211" s="1">
        <f>$AF211*Table1[[#This Row],[Total% (55-59)]]</f>
        <v>0</v>
      </c>
      <c r="EM211" s="1">
        <f>$CT211*Table1[[#This Row],[Female% (55-59)]]</f>
        <v>0</v>
      </c>
      <c r="EN211" s="1">
        <f>$CU211*Table1[[#This Row],[Male% (55-59)]]</f>
        <v>0</v>
      </c>
      <c r="EO211" s="1">
        <f>$AF211*Table1[[#This Row],[Total% (60-64)]]</f>
        <v>0</v>
      </c>
      <c r="EP211" s="1">
        <f>$CT211*Table1[[#This Row],[Female%(60-64)]]</f>
        <v>0</v>
      </c>
      <c r="EQ211" s="1">
        <f>$CU211*Table1[[#This Row],[Male%(60-64)]]</f>
        <v>0</v>
      </c>
      <c r="ER211" s="1">
        <f>$AF211*Table1[[#This Row],[Total% (&gt;=65)]]</f>
        <v>0</v>
      </c>
      <c r="ES211" s="1">
        <f>$CT211*Table1[[#This Row],[Female%(&gt;=65)]]</f>
        <v>0</v>
      </c>
      <c r="ET211" s="1">
        <f>$CU211*Table1[[#This Row],[Male% (&gt;=65)]]</f>
        <v>0</v>
      </c>
    </row>
    <row r="212" spans="1:150" hidden="1" x14ac:dyDescent="0.35">
      <c r="A212" t="s">
        <v>6</v>
      </c>
      <c r="B212" t="s">
        <v>7</v>
      </c>
      <c r="C212" t="s">
        <v>78</v>
      </c>
      <c r="D212" t="s">
        <v>79</v>
      </c>
      <c r="E212" t="s">
        <v>530</v>
      </c>
      <c r="F212" t="s">
        <v>531</v>
      </c>
      <c r="H212">
        <v>2</v>
      </c>
      <c r="I212" s="1">
        <v>0</v>
      </c>
      <c r="J212" s="1">
        <v>7977</v>
      </c>
      <c r="K212" s="1">
        <v>1284</v>
      </c>
      <c r="L212" s="1">
        <v>0</v>
      </c>
      <c r="M212" s="1">
        <v>0</v>
      </c>
      <c r="N212" s="1">
        <v>1284</v>
      </c>
      <c r="O212" s="3">
        <v>1</v>
      </c>
      <c r="P212" s="3">
        <v>0</v>
      </c>
      <c r="Q212" s="3">
        <v>0</v>
      </c>
      <c r="R212" s="3">
        <v>0</v>
      </c>
      <c r="S212" s="3">
        <v>0</v>
      </c>
      <c r="T212" s="1">
        <v>9261</v>
      </c>
      <c r="U212" s="1">
        <v>0</v>
      </c>
      <c r="V212" s="10">
        <f>Table1[[#This Row],[Pop NW+RATAA]]*Table1[[#This Row],[Perc_pop_Northern_Aleppo]]</f>
        <v>0</v>
      </c>
      <c r="W212" s="10">
        <f>Table1[[#This Row],[Pop NW+RATAA]]*Table1[[#This Row],[Perc_pop_Afrin District]]</f>
        <v>0</v>
      </c>
      <c r="X212" s="10">
        <f>Table1[[#This Row],[Pop NW+RATAA]]*Table1[[#This Row],[Perc_pop_Euphrates Shiled]]</f>
        <v>0</v>
      </c>
      <c r="Y212" s="10">
        <f>Table1[[#This Row],[Pop NW+RATAA]]*Table1[[#This Row],[Perc_Pop_Idleb_NSAG]]</f>
        <v>0</v>
      </c>
      <c r="Z212" s="3">
        <v>0</v>
      </c>
      <c r="AA212" s="3">
        <v>0</v>
      </c>
      <c r="AB212" s="3">
        <v>0</v>
      </c>
      <c r="AC212" s="3">
        <v>0</v>
      </c>
      <c r="AD212" s="1">
        <v>1284</v>
      </c>
      <c r="AE212" s="1">
        <v>0</v>
      </c>
      <c r="AF212" s="1">
        <v>0</v>
      </c>
      <c r="AG212" s="1">
        <v>0</v>
      </c>
      <c r="AH212" s="1">
        <v>0</v>
      </c>
      <c r="AI212" s="1">
        <f>Table1[[#This Row],[NWS_pin]]*Table1[[#This Row],[Perc_pop_Northern_Aleppo]]</f>
        <v>0</v>
      </c>
      <c r="AJ212" s="1">
        <f>Table1[[#This Row],[NWS_pin]]*Table1[[#This Row],[Perc_pop_Afrin District]]</f>
        <v>0</v>
      </c>
      <c r="AK212" s="1">
        <f>Table1[[#This Row],[NWS_pin]]*Table1[[#This Row],[Perc_pop_Euphrates Shiled]]</f>
        <v>0</v>
      </c>
      <c r="AL212" s="1">
        <f>Table1[[#This Row],[NWS_pin]]*Table1[[#This Row],[Perc_Pop_Idleb_NSAG]]</f>
        <v>0</v>
      </c>
      <c r="AM212" s="4">
        <v>0.50247728436762096</v>
      </c>
      <c r="AN212" s="4">
        <v>0.49752271563237999</v>
      </c>
      <c r="AO212" s="4">
        <v>0.16092796092796099</v>
      </c>
      <c r="AP212" s="4">
        <v>0.401245216012796</v>
      </c>
      <c r="AQ212" s="4">
        <v>0.55306852559781405</v>
      </c>
      <c r="AR212" s="4">
        <v>5.9337556389046997E-3</v>
      </c>
      <c r="AS212" s="4">
        <v>0</v>
      </c>
      <c r="AT212" s="4">
        <v>3.9752502750485398E-2</v>
      </c>
      <c r="AU212" s="4">
        <v>2.91110034640336E-2</v>
      </c>
      <c r="AV212" s="4">
        <v>1.00871822553805E-2</v>
      </c>
      <c r="AW212" s="4">
        <v>4.8324272966852301E-2</v>
      </c>
      <c r="AX212" s="4">
        <v>4.2702962589475299E-2</v>
      </c>
      <c r="AY212" s="4">
        <v>3.3822852172133197E-2</v>
      </c>
      <c r="AZ212" s="4">
        <v>5.1671505385996901E-2</v>
      </c>
      <c r="BA212" s="4">
        <v>5.9683028311597101E-2</v>
      </c>
      <c r="BB212" s="4">
        <v>3.9967001861070002E-2</v>
      </c>
      <c r="BC212" s="4">
        <v>7.9595396366568996E-2</v>
      </c>
      <c r="BD212" s="4">
        <v>5.22959588608439E-2</v>
      </c>
      <c r="BE212" s="4">
        <v>5.6030292176226799E-2</v>
      </c>
      <c r="BF212" s="4">
        <v>4.8524437271418398E-2</v>
      </c>
      <c r="BG212" s="4">
        <v>5.1993276899493797E-2</v>
      </c>
      <c r="BH212" s="4">
        <v>6.78682784249202E-2</v>
      </c>
      <c r="BI212" s="4">
        <v>3.5960184529652703E-2</v>
      </c>
      <c r="BJ212" s="4">
        <v>5.8058323283165597E-2</v>
      </c>
      <c r="BK212" s="4">
        <v>7.8384513360330504E-2</v>
      </c>
      <c r="BL212" s="4">
        <v>3.75297153008506E-2</v>
      </c>
      <c r="BM212" s="4">
        <v>2.3639672425087899E-2</v>
      </c>
      <c r="BN212" s="4">
        <v>2.8881539419875601E-2</v>
      </c>
      <c r="BO212" s="4">
        <v>1.8345604416134101E-2</v>
      </c>
      <c r="BP212" s="4">
        <v>7.7095057103984899E-2</v>
      </c>
      <c r="BQ212" s="4">
        <v>6.5912196987550506E-2</v>
      </c>
      <c r="BR212" s="4">
        <v>8.8389281480507398E-2</v>
      </c>
      <c r="BS212" s="4">
        <v>0.12939536154832201</v>
      </c>
      <c r="BT212" s="4">
        <v>0.1425716110784</v>
      </c>
      <c r="BU212" s="4">
        <v>0.11608789663466799</v>
      </c>
      <c r="BV212" s="4">
        <v>8.5882913322629498E-2</v>
      </c>
      <c r="BW212" s="4">
        <v>7.7856605597527898E-2</v>
      </c>
      <c r="BX212" s="4">
        <v>9.3989150852069103E-2</v>
      </c>
      <c r="BY212" s="4">
        <v>9.6347138729010906E-2</v>
      </c>
      <c r="BZ212" s="4">
        <v>9.5872133653032807E-2</v>
      </c>
      <c r="CA212" s="4">
        <v>9.6826874132317997E-2</v>
      </c>
      <c r="CB212" s="4">
        <v>5.1477963123619901E-2</v>
      </c>
      <c r="CC212" s="4">
        <v>5.7934964165933397E-2</v>
      </c>
      <c r="CD212" s="4">
        <v>4.49566601821519E-2</v>
      </c>
      <c r="CE212" s="4">
        <v>6.2645629857924795E-2</v>
      </c>
      <c r="CF212" s="4">
        <v>6.8047010336422006E-2</v>
      </c>
      <c r="CG212" s="4">
        <v>5.7190459853834003E-2</v>
      </c>
      <c r="CH212" s="4">
        <v>5.2097510547998598E-2</v>
      </c>
      <c r="CI212" s="4">
        <v>5.81891286314829E-2</v>
      </c>
      <c r="CJ212" s="4">
        <v>4.5945229223309202E-2</v>
      </c>
      <c r="CK212" s="4">
        <v>7.0916301285580505E-2</v>
      </c>
      <c r="CL212" s="4">
        <v>6.5762172688178397E-2</v>
      </c>
      <c r="CM212" s="4">
        <v>7.61217571562985E-2</v>
      </c>
      <c r="CN212" s="4">
        <v>3.2212724037462302E-2</v>
      </c>
      <c r="CO212" s="4">
        <v>2.9078288661165901E-2</v>
      </c>
      <c r="CP212" s="4">
        <v>3.5378373617713899E-2</v>
      </c>
      <c r="CQ212" s="4">
        <v>2.4445174609769599E-2</v>
      </c>
      <c r="CR212" s="4">
        <v>2.3734228530369599E-2</v>
      </c>
      <c r="CS212" s="4">
        <v>2.5163200629656199E-2</v>
      </c>
      <c r="CT212" s="1">
        <f>Table1[[#This Row],[Female %]]*Table1[[#This Row],[NWS_pin]]</f>
        <v>0</v>
      </c>
      <c r="CU212" s="1">
        <f>Table1[[#This Row],[Male %]]*Table1[[#This Row],[NWS_pin]]</f>
        <v>0</v>
      </c>
      <c r="CV212" s="1">
        <f>Table1[[#This Row],[Female% (0-2)22]]+Table1[[#This Row],[Male%(0-2)3]]</f>
        <v>0</v>
      </c>
      <c r="CW212" s="1">
        <f>$CT212*Table1[[#This Row],[Female% (0-2)]]</f>
        <v>0</v>
      </c>
      <c r="CX212" s="1">
        <f>$CU212*Table1[[#This Row],[Male%(0-2)]]</f>
        <v>0</v>
      </c>
      <c r="CY212" s="1">
        <f>Table1[[#This Row],[Female%  (3-5)5]]+Table1[[#This Row],[Male% (3-5)6]]</f>
        <v>0</v>
      </c>
      <c r="CZ212" s="1">
        <f>$AF212*Table1[[#This Row],[Female%  (3-5)]]</f>
        <v>0</v>
      </c>
      <c r="DA212" s="1">
        <f>$CU212*Table1[[#This Row],[Male% (3-5)]]</f>
        <v>0</v>
      </c>
      <c r="DB212" s="1">
        <f>Table1[[#This Row],[Female% (6-8)8]]+Table1[[#This Row],[Male%(6-8)9]]</f>
        <v>0</v>
      </c>
      <c r="DC212" s="1">
        <f>$CT212*Table1[[#This Row],[Female% (6-8)]]</f>
        <v>0</v>
      </c>
      <c r="DD212" s="1">
        <f>$CU212*Table1[[#This Row],[Male%(6-8)]]</f>
        <v>0</v>
      </c>
      <c r="DE212" s="1">
        <f>Table1[[#This Row],[Female% (9 - 11)11]]+Table1[[#This Row],[Male% (9 - 11)12]]</f>
        <v>0</v>
      </c>
      <c r="DF212" s="1">
        <f>$CT212*Table1[[#This Row],[Female% (9 - 11)]]</f>
        <v>0</v>
      </c>
      <c r="DG212" s="1">
        <f>$CU212*Table1[[#This Row],[Male% (9 - 11)]]</f>
        <v>0</v>
      </c>
      <c r="DH212" s="1">
        <f>Table1[[#This Row],[Female% (12-14)14]]+Table1[[#This Row],[Male%(12-14)15]]</f>
        <v>0</v>
      </c>
      <c r="DI212" s="1">
        <f>$CT212*Table1[[#This Row],[Female% (12-14)]]</f>
        <v>0</v>
      </c>
      <c r="DJ212" s="1">
        <f>$CU212*Table1[[#This Row],[Male%(12-14)]]</f>
        <v>0</v>
      </c>
      <c r="DK212" s="1">
        <f>Table1[[#This Row],[Female% (15-17)17]]+Table1[[#This Row],[Male%(15-17)18]]</f>
        <v>0</v>
      </c>
      <c r="DL212" s="1">
        <f>$CT212*Table1[[#This Row],[Female% (15-17)]]</f>
        <v>0</v>
      </c>
      <c r="DM212" s="1">
        <f>$CU212*Table1[[#This Row],[Male%(15-17)]]</f>
        <v>0</v>
      </c>
      <c r="DN212" s="1">
        <f>$AF212*Table1[[#This Row],[Total% (18-19)]]</f>
        <v>0</v>
      </c>
      <c r="DO212" s="1">
        <f>$CT212*Table1[[#This Row],[Female% (18-19)]]</f>
        <v>0</v>
      </c>
      <c r="DP212" s="1">
        <f>$CU212*Table1[[#This Row],[Male%(18-19)]]</f>
        <v>0</v>
      </c>
      <c r="DQ212" s="1">
        <f>$AF212*Table1[[#This Row],[Total% (20-24)]]</f>
        <v>0</v>
      </c>
      <c r="DR212" s="1">
        <f>$CT212*Table1[[#This Row],[Female% (20-24)]]</f>
        <v>0</v>
      </c>
      <c r="DS212" s="1">
        <f>$CU212*Table1[[#This Row],[Male% (20-24)]]</f>
        <v>0</v>
      </c>
      <c r="DT212" s="1">
        <f>$AF212*Table1[[#This Row],[Total% (25-29)]]</f>
        <v>0</v>
      </c>
      <c r="DU212" s="1">
        <f>$CT212*Table1[[#This Row],[Female% (25-29)]]</f>
        <v>0</v>
      </c>
      <c r="DV212" s="1">
        <f>$CU212*Table1[[#This Row],[Male% (25-29)]]</f>
        <v>0</v>
      </c>
      <c r="DW212" s="1">
        <f>$AF212*Table1[[#This Row],[Total%   (30-34)]]</f>
        <v>0</v>
      </c>
      <c r="DX212" s="1">
        <f>$CT212*Table1[[#This Row],[Female%   (30-34)]]</f>
        <v>0</v>
      </c>
      <c r="DY212" s="1">
        <f>$CU212*Table1[[#This Row],[Male%  (30-34)]]</f>
        <v>0</v>
      </c>
      <c r="DZ212" s="1">
        <f>$AF212*Table1[[#This Row],[Total% (35-39)]]</f>
        <v>0</v>
      </c>
      <c r="EA212" s="1">
        <f>$CT212*Table1[[#This Row],[Female% (35-39)]]</f>
        <v>0</v>
      </c>
      <c r="EB212" s="1">
        <f>$CU212*Table1[[#This Row],[Male% (35-39)]]</f>
        <v>0</v>
      </c>
      <c r="EC212" s="1">
        <f>$AF212*Table1[[#This Row],[Total% (40-44)]]</f>
        <v>0</v>
      </c>
      <c r="ED212" s="1">
        <f>$CT212*Table1[[#This Row],[Female% (40-44)]]</f>
        <v>0</v>
      </c>
      <c r="EE212" s="1">
        <f>$CU212*Table1[[#This Row],[Male%(55-59)]]</f>
        <v>0</v>
      </c>
      <c r="EF212" s="1">
        <f>$AF212*Table1[[#This Row],[Total% (45-49)]]</f>
        <v>0</v>
      </c>
      <c r="EG212" s="1">
        <f>$CT212*Table1[[#This Row],[Female% (45-49)]]</f>
        <v>0</v>
      </c>
      <c r="EH212" s="1">
        <f>$CU212*Table1[[#This Row],[Male% (45-49)]]</f>
        <v>0</v>
      </c>
      <c r="EI212" s="1">
        <f>$AF212*Table1[[#This Row],[Total% (50-54)]]</f>
        <v>0</v>
      </c>
      <c r="EJ212" s="1">
        <f>$CT212*Table1[[#This Row],[Female%(50-54)]]</f>
        <v>0</v>
      </c>
      <c r="EK212" s="1">
        <f>$CU212*Table1[[#This Row],[Male% (50-54)]]</f>
        <v>0</v>
      </c>
      <c r="EL212" s="1">
        <f>$AF212*Table1[[#This Row],[Total% (55-59)]]</f>
        <v>0</v>
      </c>
      <c r="EM212" s="1">
        <f>$CT212*Table1[[#This Row],[Female% (55-59)]]</f>
        <v>0</v>
      </c>
      <c r="EN212" s="1">
        <f>$CU212*Table1[[#This Row],[Male% (55-59)]]</f>
        <v>0</v>
      </c>
      <c r="EO212" s="1">
        <f>$AF212*Table1[[#This Row],[Total% (60-64)]]</f>
        <v>0</v>
      </c>
      <c r="EP212" s="1">
        <f>$CT212*Table1[[#This Row],[Female%(60-64)]]</f>
        <v>0</v>
      </c>
      <c r="EQ212" s="1">
        <f>$CU212*Table1[[#This Row],[Male%(60-64)]]</f>
        <v>0</v>
      </c>
      <c r="ER212" s="1">
        <f>$AF212*Table1[[#This Row],[Total% (&gt;=65)]]</f>
        <v>0</v>
      </c>
      <c r="ES212" s="1">
        <f>$CT212*Table1[[#This Row],[Female%(&gt;=65)]]</f>
        <v>0</v>
      </c>
      <c r="ET212" s="1">
        <f>$CU212*Table1[[#This Row],[Male% (&gt;=65)]]</f>
        <v>0</v>
      </c>
    </row>
    <row r="213" spans="1:150" hidden="1" x14ac:dyDescent="0.35">
      <c r="A213" t="s">
        <v>6</v>
      </c>
      <c r="B213" t="s">
        <v>7</v>
      </c>
      <c r="C213" t="s">
        <v>8</v>
      </c>
      <c r="D213" t="s">
        <v>9</v>
      </c>
      <c r="E213" t="s">
        <v>8</v>
      </c>
      <c r="F213" t="s">
        <v>92</v>
      </c>
      <c r="H213">
        <v>2</v>
      </c>
      <c r="I213" s="1">
        <v>674</v>
      </c>
      <c r="J213" s="1">
        <v>61353</v>
      </c>
      <c r="K213" s="1">
        <v>9098</v>
      </c>
      <c r="L213" s="1">
        <v>0</v>
      </c>
      <c r="M213" s="1">
        <v>0</v>
      </c>
      <c r="N213" s="1">
        <v>9098</v>
      </c>
      <c r="O213" s="3">
        <v>1</v>
      </c>
      <c r="P213" s="3">
        <v>0</v>
      </c>
      <c r="Q213" s="3">
        <v>0</v>
      </c>
      <c r="R213" s="3">
        <v>0</v>
      </c>
      <c r="S213" s="3">
        <v>0</v>
      </c>
      <c r="T213" s="1">
        <v>71125</v>
      </c>
      <c r="U213" s="1">
        <v>0</v>
      </c>
      <c r="V213" s="10">
        <f>Table1[[#This Row],[Pop NW+RATAA]]*Table1[[#This Row],[Perc_pop_Northern_Aleppo]]</f>
        <v>0</v>
      </c>
      <c r="W213" s="10">
        <f>Table1[[#This Row],[Pop NW+RATAA]]*Table1[[#This Row],[Perc_pop_Afrin District]]</f>
        <v>0</v>
      </c>
      <c r="X213" s="10">
        <f>Table1[[#This Row],[Pop NW+RATAA]]*Table1[[#This Row],[Perc_pop_Euphrates Shiled]]</f>
        <v>0</v>
      </c>
      <c r="Y213" s="10">
        <f>Table1[[#This Row],[Pop NW+RATAA]]*Table1[[#This Row],[Perc_Pop_Idleb_NSAG]]</f>
        <v>0</v>
      </c>
      <c r="Z213" s="3">
        <v>0</v>
      </c>
      <c r="AA213" s="3">
        <v>0</v>
      </c>
      <c r="AB213" s="3">
        <v>0</v>
      </c>
      <c r="AC213" s="3">
        <v>0</v>
      </c>
      <c r="AD213" s="1">
        <v>9098</v>
      </c>
      <c r="AE213" s="1">
        <v>0</v>
      </c>
      <c r="AF213" s="1">
        <v>0</v>
      </c>
      <c r="AG213" s="1">
        <v>0</v>
      </c>
      <c r="AH213" s="1">
        <v>0</v>
      </c>
      <c r="AI213" s="1">
        <f>Table1[[#This Row],[NWS_pin]]*Table1[[#This Row],[Perc_pop_Northern_Aleppo]]</f>
        <v>0</v>
      </c>
      <c r="AJ213" s="1">
        <f>Table1[[#This Row],[NWS_pin]]*Table1[[#This Row],[Perc_pop_Afrin District]]</f>
        <v>0</v>
      </c>
      <c r="AK213" s="1">
        <f>Table1[[#This Row],[NWS_pin]]*Table1[[#This Row],[Perc_pop_Euphrates Shiled]]</f>
        <v>0</v>
      </c>
      <c r="AL213" s="1">
        <f>Table1[[#This Row],[NWS_pin]]*Table1[[#This Row],[Perc_Pop_Idleb_NSAG]]</f>
        <v>0</v>
      </c>
      <c r="AM213" s="4">
        <v>0.52610154687614696</v>
      </c>
      <c r="AN213" s="4">
        <v>0.47389845312385298</v>
      </c>
      <c r="AO213" s="4">
        <v>0.18238552015530399</v>
      </c>
      <c r="AP213" s="4">
        <v>0.44807578131478298</v>
      </c>
      <c r="AQ213" s="4">
        <v>0.49386661049362601</v>
      </c>
      <c r="AR213" s="4">
        <v>7.1518579514308596E-3</v>
      </c>
      <c r="AS213" s="4">
        <v>0</v>
      </c>
      <c r="AT213" s="4">
        <v>5.0905750240159697E-2</v>
      </c>
      <c r="AU213" s="4">
        <v>2.21177124465332E-2</v>
      </c>
      <c r="AV213" s="4">
        <v>1.86404546603962E-2</v>
      </c>
      <c r="AW213" s="4">
        <v>2.5978013504945299E-2</v>
      </c>
      <c r="AX213" s="4">
        <v>4.7667584525365403E-2</v>
      </c>
      <c r="AY213" s="4">
        <v>4.3118587070646003E-2</v>
      </c>
      <c r="AZ213" s="4">
        <v>5.2717684566603799E-2</v>
      </c>
      <c r="BA213" s="4">
        <v>5.77313451008322E-2</v>
      </c>
      <c r="BB213" s="4">
        <v>4.7617583353856602E-2</v>
      </c>
      <c r="BC213" s="4">
        <v>6.8959205552256903E-2</v>
      </c>
      <c r="BD213" s="4">
        <v>7.1065268384730901E-2</v>
      </c>
      <c r="BE213" s="4">
        <v>6.4842066666133E-2</v>
      </c>
      <c r="BF213" s="4">
        <v>7.7973997520888197E-2</v>
      </c>
      <c r="BG213" s="4">
        <v>7.3021618451090398E-2</v>
      </c>
      <c r="BH213" s="4">
        <v>6.3589088439307898E-2</v>
      </c>
      <c r="BI213" s="4">
        <v>8.3493204921657599E-2</v>
      </c>
      <c r="BJ213" s="4">
        <v>7.7999508022188094E-2</v>
      </c>
      <c r="BK213" s="4">
        <v>5.5196339686831603E-2</v>
      </c>
      <c r="BL213" s="4">
        <v>0.103314598324399</v>
      </c>
      <c r="BM213" s="4">
        <v>2.49963970404301E-2</v>
      </c>
      <c r="BN213" s="4">
        <v>3.02734294371165E-2</v>
      </c>
      <c r="BO213" s="4">
        <v>1.9138064124355501E-2</v>
      </c>
      <c r="BP213" s="4">
        <v>4.3821964018102399E-2</v>
      </c>
      <c r="BQ213" s="4">
        <v>4.6466318862199998E-2</v>
      </c>
      <c r="BR213" s="4">
        <v>4.0886315748312502E-2</v>
      </c>
      <c r="BS213" s="4">
        <v>7.8498447316836403E-2</v>
      </c>
      <c r="BT213" s="4">
        <v>0.114867377375695</v>
      </c>
      <c r="BU213" s="4">
        <v>3.8123235631570399E-2</v>
      </c>
      <c r="BV213" s="4">
        <v>6.9801920298999898E-2</v>
      </c>
      <c r="BW213" s="4">
        <v>0.107009332078236</v>
      </c>
      <c r="BX213" s="4">
        <v>2.8495862506914001E-2</v>
      </c>
      <c r="BY213" s="4">
        <v>0.102322614896093</v>
      </c>
      <c r="BZ213" s="4">
        <v>9.1508378590451703E-2</v>
      </c>
      <c r="CA213" s="4">
        <v>0.11432811187794401</v>
      </c>
      <c r="CB213" s="4">
        <v>7.3719451353901899E-2</v>
      </c>
      <c r="CC213" s="4">
        <v>6.9214109139151797E-2</v>
      </c>
      <c r="CD213" s="4">
        <v>7.8721087237627704E-2</v>
      </c>
      <c r="CE213" s="4">
        <v>5.0419310832698003E-2</v>
      </c>
      <c r="CF213" s="4">
        <v>5.8632647189428198E-2</v>
      </c>
      <c r="CG213" s="4">
        <v>4.1301220377229698E-2</v>
      </c>
      <c r="CH213" s="4">
        <v>4.9173354066825499E-2</v>
      </c>
      <c r="CI213" s="4">
        <v>4.72006041293579E-2</v>
      </c>
      <c r="CJ213" s="4">
        <v>5.1363415644068801E-2</v>
      </c>
      <c r="CK213" s="4">
        <v>5.0584165019941597E-2</v>
      </c>
      <c r="CL213" s="4">
        <v>4.3879603586413699E-2</v>
      </c>
      <c r="CM213" s="4">
        <v>5.8027278872822802E-2</v>
      </c>
      <c r="CN213" s="4">
        <v>4.14824020818318E-2</v>
      </c>
      <c r="CO213" s="4">
        <v>2.82569860305289E-2</v>
      </c>
      <c r="CP213" s="4">
        <v>5.6164686433692101E-2</v>
      </c>
      <c r="CQ213" s="4">
        <v>6.5576936143598802E-2</v>
      </c>
      <c r="CR213" s="4">
        <v>6.96870937042494E-2</v>
      </c>
      <c r="CS213" s="4">
        <v>6.10140171547119E-2</v>
      </c>
      <c r="CT213" s="1">
        <f>Table1[[#This Row],[Female %]]*Table1[[#This Row],[NWS_pin]]</f>
        <v>0</v>
      </c>
      <c r="CU213" s="1">
        <f>Table1[[#This Row],[Male %]]*Table1[[#This Row],[NWS_pin]]</f>
        <v>0</v>
      </c>
      <c r="CV213" s="1">
        <f>Table1[[#This Row],[Female% (0-2)22]]+Table1[[#This Row],[Male%(0-2)3]]</f>
        <v>0</v>
      </c>
      <c r="CW213" s="1">
        <f>$CT213*Table1[[#This Row],[Female% (0-2)]]</f>
        <v>0</v>
      </c>
      <c r="CX213" s="1">
        <f>$CU213*Table1[[#This Row],[Male%(0-2)]]</f>
        <v>0</v>
      </c>
      <c r="CY213" s="1">
        <f>Table1[[#This Row],[Female%  (3-5)5]]+Table1[[#This Row],[Male% (3-5)6]]</f>
        <v>0</v>
      </c>
      <c r="CZ213" s="1">
        <f>$AF213*Table1[[#This Row],[Female%  (3-5)]]</f>
        <v>0</v>
      </c>
      <c r="DA213" s="1">
        <f>$CU213*Table1[[#This Row],[Male% (3-5)]]</f>
        <v>0</v>
      </c>
      <c r="DB213" s="1">
        <f>Table1[[#This Row],[Female% (6-8)8]]+Table1[[#This Row],[Male%(6-8)9]]</f>
        <v>0</v>
      </c>
      <c r="DC213" s="1">
        <f>$CT213*Table1[[#This Row],[Female% (6-8)]]</f>
        <v>0</v>
      </c>
      <c r="DD213" s="1">
        <f>$CU213*Table1[[#This Row],[Male%(6-8)]]</f>
        <v>0</v>
      </c>
      <c r="DE213" s="1">
        <f>Table1[[#This Row],[Female% (9 - 11)11]]+Table1[[#This Row],[Male% (9 - 11)12]]</f>
        <v>0</v>
      </c>
      <c r="DF213" s="1">
        <f>$CT213*Table1[[#This Row],[Female% (9 - 11)]]</f>
        <v>0</v>
      </c>
      <c r="DG213" s="1">
        <f>$CU213*Table1[[#This Row],[Male% (9 - 11)]]</f>
        <v>0</v>
      </c>
      <c r="DH213" s="1">
        <f>Table1[[#This Row],[Female% (12-14)14]]+Table1[[#This Row],[Male%(12-14)15]]</f>
        <v>0</v>
      </c>
      <c r="DI213" s="1">
        <f>$CT213*Table1[[#This Row],[Female% (12-14)]]</f>
        <v>0</v>
      </c>
      <c r="DJ213" s="1">
        <f>$CU213*Table1[[#This Row],[Male%(12-14)]]</f>
        <v>0</v>
      </c>
      <c r="DK213" s="1">
        <f>Table1[[#This Row],[Female% (15-17)17]]+Table1[[#This Row],[Male%(15-17)18]]</f>
        <v>0</v>
      </c>
      <c r="DL213" s="1">
        <f>$CT213*Table1[[#This Row],[Female% (15-17)]]</f>
        <v>0</v>
      </c>
      <c r="DM213" s="1">
        <f>$CU213*Table1[[#This Row],[Male%(15-17)]]</f>
        <v>0</v>
      </c>
      <c r="DN213" s="1">
        <f>$AF213*Table1[[#This Row],[Total% (18-19)]]</f>
        <v>0</v>
      </c>
      <c r="DO213" s="1">
        <f>$CT213*Table1[[#This Row],[Female% (18-19)]]</f>
        <v>0</v>
      </c>
      <c r="DP213" s="1">
        <f>$CU213*Table1[[#This Row],[Male%(18-19)]]</f>
        <v>0</v>
      </c>
      <c r="DQ213" s="1">
        <f>$AF213*Table1[[#This Row],[Total% (20-24)]]</f>
        <v>0</v>
      </c>
      <c r="DR213" s="1">
        <f>$CT213*Table1[[#This Row],[Female% (20-24)]]</f>
        <v>0</v>
      </c>
      <c r="DS213" s="1">
        <f>$CU213*Table1[[#This Row],[Male% (20-24)]]</f>
        <v>0</v>
      </c>
      <c r="DT213" s="1">
        <f>$AF213*Table1[[#This Row],[Total% (25-29)]]</f>
        <v>0</v>
      </c>
      <c r="DU213" s="1">
        <f>$CT213*Table1[[#This Row],[Female% (25-29)]]</f>
        <v>0</v>
      </c>
      <c r="DV213" s="1">
        <f>$CU213*Table1[[#This Row],[Male% (25-29)]]</f>
        <v>0</v>
      </c>
      <c r="DW213" s="1">
        <f>$AF213*Table1[[#This Row],[Total%   (30-34)]]</f>
        <v>0</v>
      </c>
      <c r="DX213" s="1">
        <f>$CT213*Table1[[#This Row],[Female%   (30-34)]]</f>
        <v>0</v>
      </c>
      <c r="DY213" s="1">
        <f>$CU213*Table1[[#This Row],[Male%  (30-34)]]</f>
        <v>0</v>
      </c>
      <c r="DZ213" s="1">
        <f>$AF213*Table1[[#This Row],[Total% (35-39)]]</f>
        <v>0</v>
      </c>
      <c r="EA213" s="1">
        <f>$CT213*Table1[[#This Row],[Female% (35-39)]]</f>
        <v>0</v>
      </c>
      <c r="EB213" s="1">
        <f>$CU213*Table1[[#This Row],[Male% (35-39)]]</f>
        <v>0</v>
      </c>
      <c r="EC213" s="1">
        <f>$AF213*Table1[[#This Row],[Total% (40-44)]]</f>
        <v>0</v>
      </c>
      <c r="ED213" s="1">
        <f>$CT213*Table1[[#This Row],[Female% (40-44)]]</f>
        <v>0</v>
      </c>
      <c r="EE213" s="1">
        <f>$CU213*Table1[[#This Row],[Male%(55-59)]]</f>
        <v>0</v>
      </c>
      <c r="EF213" s="1">
        <f>$AF213*Table1[[#This Row],[Total% (45-49)]]</f>
        <v>0</v>
      </c>
      <c r="EG213" s="1">
        <f>$CT213*Table1[[#This Row],[Female% (45-49)]]</f>
        <v>0</v>
      </c>
      <c r="EH213" s="1">
        <f>$CU213*Table1[[#This Row],[Male% (45-49)]]</f>
        <v>0</v>
      </c>
      <c r="EI213" s="1">
        <f>$AF213*Table1[[#This Row],[Total% (50-54)]]</f>
        <v>0</v>
      </c>
      <c r="EJ213" s="1">
        <f>$CT213*Table1[[#This Row],[Female%(50-54)]]</f>
        <v>0</v>
      </c>
      <c r="EK213" s="1">
        <f>$CU213*Table1[[#This Row],[Male% (50-54)]]</f>
        <v>0</v>
      </c>
      <c r="EL213" s="1">
        <f>$AF213*Table1[[#This Row],[Total% (55-59)]]</f>
        <v>0</v>
      </c>
      <c r="EM213" s="1">
        <f>$CT213*Table1[[#This Row],[Female% (55-59)]]</f>
        <v>0</v>
      </c>
      <c r="EN213" s="1">
        <f>$CU213*Table1[[#This Row],[Male% (55-59)]]</f>
        <v>0</v>
      </c>
      <c r="EO213" s="1">
        <f>$AF213*Table1[[#This Row],[Total% (60-64)]]</f>
        <v>0</v>
      </c>
      <c r="EP213" s="1">
        <f>$CT213*Table1[[#This Row],[Female%(60-64)]]</f>
        <v>0</v>
      </c>
      <c r="EQ213" s="1">
        <f>$CU213*Table1[[#This Row],[Male%(60-64)]]</f>
        <v>0</v>
      </c>
      <c r="ER213" s="1">
        <f>$AF213*Table1[[#This Row],[Total% (&gt;=65)]]</f>
        <v>0</v>
      </c>
      <c r="ES213" s="1">
        <f>$CT213*Table1[[#This Row],[Female%(&gt;=65)]]</f>
        <v>0</v>
      </c>
      <c r="ET213" s="1">
        <f>$CU213*Table1[[#This Row],[Male% (&gt;=65)]]</f>
        <v>0</v>
      </c>
    </row>
    <row r="214" spans="1:150" hidden="1" x14ac:dyDescent="0.35">
      <c r="A214" t="s">
        <v>6</v>
      </c>
      <c r="B214" t="s">
        <v>7</v>
      </c>
      <c r="C214" t="s">
        <v>8</v>
      </c>
      <c r="D214" t="s">
        <v>9</v>
      </c>
      <c r="E214" t="s">
        <v>93</v>
      </c>
      <c r="F214" t="s">
        <v>94</v>
      </c>
      <c r="H214">
        <v>2</v>
      </c>
      <c r="I214" s="1">
        <v>0</v>
      </c>
      <c r="J214" s="1">
        <v>18406</v>
      </c>
      <c r="K214" s="1">
        <v>3125</v>
      </c>
      <c r="L214" s="1">
        <v>0</v>
      </c>
      <c r="M214" s="1">
        <v>0</v>
      </c>
      <c r="N214" s="1">
        <v>3125</v>
      </c>
      <c r="O214" s="3">
        <v>1</v>
      </c>
      <c r="P214" s="3">
        <v>0</v>
      </c>
      <c r="Q214" s="3">
        <v>0</v>
      </c>
      <c r="R214" s="3">
        <v>0</v>
      </c>
      <c r="S214" s="3">
        <v>0</v>
      </c>
      <c r="T214" s="1">
        <v>21531</v>
      </c>
      <c r="U214" s="1">
        <v>0</v>
      </c>
      <c r="V214" s="10">
        <f>Table1[[#This Row],[Pop NW+RATAA]]*Table1[[#This Row],[Perc_pop_Northern_Aleppo]]</f>
        <v>0</v>
      </c>
      <c r="W214" s="10">
        <f>Table1[[#This Row],[Pop NW+RATAA]]*Table1[[#This Row],[Perc_pop_Afrin District]]</f>
        <v>0</v>
      </c>
      <c r="X214" s="10">
        <f>Table1[[#This Row],[Pop NW+RATAA]]*Table1[[#This Row],[Perc_pop_Euphrates Shiled]]</f>
        <v>0</v>
      </c>
      <c r="Y214" s="10">
        <f>Table1[[#This Row],[Pop NW+RATAA]]*Table1[[#This Row],[Perc_Pop_Idleb_NSAG]]</f>
        <v>0</v>
      </c>
      <c r="Z214" s="3">
        <v>0</v>
      </c>
      <c r="AA214" s="3">
        <v>0</v>
      </c>
      <c r="AB214" s="3">
        <v>0</v>
      </c>
      <c r="AC214" s="3">
        <v>0</v>
      </c>
      <c r="AD214" s="1">
        <v>3125</v>
      </c>
      <c r="AE214" s="1">
        <v>0</v>
      </c>
      <c r="AF214" s="1">
        <v>0</v>
      </c>
      <c r="AG214" s="1">
        <v>0</v>
      </c>
      <c r="AH214" s="1">
        <v>0</v>
      </c>
      <c r="AI214" s="1">
        <f>Table1[[#This Row],[NWS_pin]]*Table1[[#This Row],[Perc_pop_Northern_Aleppo]]</f>
        <v>0</v>
      </c>
      <c r="AJ214" s="1">
        <f>Table1[[#This Row],[NWS_pin]]*Table1[[#This Row],[Perc_pop_Afrin District]]</f>
        <v>0</v>
      </c>
      <c r="AK214" s="1">
        <f>Table1[[#This Row],[NWS_pin]]*Table1[[#This Row],[Perc_pop_Euphrates Shiled]]</f>
        <v>0</v>
      </c>
      <c r="AL214" s="1">
        <f>Table1[[#This Row],[NWS_pin]]*Table1[[#This Row],[Perc_Pop_Idleb_NSAG]]</f>
        <v>0</v>
      </c>
      <c r="AM214" s="4">
        <v>0.52947110276624698</v>
      </c>
      <c r="AN214" s="4">
        <v>0.47052889723375302</v>
      </c>
      <c r="AO214" s="4">
        <v>0.16425338862136599</v>
      </c>
      <c r="AP214" s="4">
        <v>0.45510399372542598</v>
      </c>
      <c r="AQ214" s="4">
        <v>0.49247953901994801</v>
      </c>
      <c r="AR214" s="4">
        <v>9.9012878371203504E-3</v>
      </c>
      <c r="AS214" s="4">
        <v>0</v>
      </c>
      <c r="AT214" s="4">
        <v>4.2515179417505301E-2</v>
      </c>
      <c r="AU214" s="4">
        <v>3.6228645561364202E-2</v>
      </c>
      <c r="AV214" s="4">
        <v>5.0652567765119401E-2</v>
      </c>
      <c r="AW214" s="4">
        <v>1.9997867727452E-2</v>
      </c>
      <c r="AX214" s="4">
        <v>2.9146030996977702E-2</v>
      </c>
      <c r="AY214" s="4">
        <v>1.4799836655118401E-2</v>
      </c>
      <c r="AZ214" s="4">
        <v>4.5289344156572098E-2</v>
      </c>
      <c r="BA214" s="4">
        <v>4.5040233239867999E-2</v>
      </c>
      <c r="BB214" s="4">
        <v>4.0077282857311602E-2</v>
      </c>
      <c r="BC214" s="4">
        <v>5.0624882402703401E-2</v>
      </c>
      <c r="BD214" s="4">
        <v>4.5415455824295299E-2</v>
      </c>
      <c r="BE214" s="4">
        <v>4.0890509431651602E-2</v>
      </c>
      <c r="BF214" s="4">
        <v>5.0507233121197301E-2</v>
      </c>
      <c r="BG214" s="4">
        <v>7.0625374654753603E-2</v>
      </c>
      <c r="BH214" s="4">
        <v>7.2661796397188894E-2</v>
      </c>
      <c r="BI214" s="4">
        <v>6.8333854469695393E-2</v>
      </c>
      <c r="BJ214" s="4">
        <v>4.7799562399194299E-2</v>
      </c>
      <c r="BK214" s="4">
        <v>1.11961306196232E-2</v>
      </c>
      <c r="BL214" s="4">
        <v>8.8988232220105698E-2</v>
      </c>
      <c r="BM214" s="4">
        <v>3.1735437229916098E-2</v>
      </c>
      <c r="BN214" s="4">
        <v>2.7051257151849299E-2</v>
      </c>
      <c r="BO214" s="4">
        <v>3.7006395094715601E-2</v>
      </c>
      <c r="BP214" s="4">
        <v>7.3069381262640704E-2</v>
      </c>
      <c r="BQ214" s="4">
        <v>8.5972822966022197E-2</v>
      </c>
      <c r="BR214" s="4">
        <v>5.85495514533882E-2</v>
      </c>
      <c r="BS214" s="4">
        <v>9.4591048686112206E-2</v>
      </c>
      <c r="BT214" s="4">
        <v>0.13177768338172799</v>
      </c>
      <c r="BU214" s="4">
        <v>5.2746119296638798E-2</v>
      </c>
      <c r="BV214" s="4">
        <v>0.10586199711699899</v>
      </c>
      <c r="BW214" s="4">
        <v>0.115987154581316</v>
      </c>
      <c r="BX214" s="4">
        <v>9.44684816074709E-2</v>
      </c>
      <c r="BY214" s="4">
        <v>6.9361379827276304E-2</v>
      </c>
      <c r="BZ214" s="4">
        <v>7.2011291694080701E-2</v>
      </c>
      <c r="CA214" s="4">
        <v>6.6379518847857505E-2</v>
      </c>
      <c r="CB214" s="4">
        <v>5.6132487942663602E-2</v>
      </c>
      <c r="CC214" s="4">
        <v>6.6923012571056498E-2</v>
      </c>
      <c r="CD214" s="4">
        <v>4.3990256066980801E-2</v>
      </c>
      <c r="CE214" s="4">
        <v>5.9398042617038897E-2</v>
      </c>
      <c r="CF214" s="4">
        <v>5.3786151729908499E-2</v>
      </c>
      <c r="CG214" s="4">
        <v>6.57129237520368E-2</v>
      </c>
      <c r="CH214" s="4">
        <v>5.02778904470539E-2</v>
      </c>
      <c r="CI214" s="4">
        <v>5.03164325304674E-2</v>
      </c>
      <c r="CJ214" s="4">
        <v>5.0234520274620602E-2</v>
      </c>
      <c r="CK214" s="4">
        <v>7.5078530823203996E-2</v>
      </c>
      <c r="CL214" s="4">
        <v>8.8108996304624307E-2</v>
      </c>
      <c r="CM214" s="4">
        <v>6.0415765223543701E-2</v>
      </c>
      <c r="CN214" s="4">
        <v>4.3682170690535801E-2</v>
      </c>
      <c r="CO214" s="4">
        <v>1.4166834320703601E-2</v>
      </c>
      <c r="CP214" s="4">
        <v>7.6894833691949993E-2</v>
      </c>
      <c r="CQ214" s="4">
        <v>6.6556330680106399E-2</v>
      </c>
      <c r="CR214" s="4">
        <v>6.3620239042230298E-2</v>
      </c>
      <c r="CS214" s="4">
        <v>6.9860220593071204E-2</v>
      </c>
      <c r="CT214" s="1">
        <f>Table1[[#This Row],[Female %]]*Table1[[#This Row],[NWS_pin]]</f>
        <v>0</v>
      </c>
      <c r="CU214" s="1">
        <f>Table1[[#This Row],[Male %]]*Table1[[#This Row],[NWS_pin]]</f>
        <v>0</v>
      </c>
      <c r="CV214" s="1">
        <f>Table1[[#This Row],[Female% (0-2)22]]+Table1[[#This Row],[Male%(0-2)3]]</f>
        <v>0</v>
      </c>
      <c r="CW214" s="1">
        <f>$CT214*Table1[[#This Row],[Female% (0-2)]]</f>
        <v>0</v>
      </c>
      <c r="CX214" s="1">
        <f>$CU214*Table1[[#This Row],[Male%(0-2)]]</f>
        <v>0</v>
      </c>
      <c r="CY214" s="1">
        <f>Table1[[#This Row],[Female%  (3-5)5]]+Table1[[#This Row],[Male% (3-5)6]]</f>
        <v>0</v>
      </c>
      <c r="CZ214" s="1">
        <f>$AF214*Table1[[#This Row],[Female%  (3-5)]]</f>
        <v>0</v>
      </c>
      <c r="DA214" s="1">
        <f>$CU214*Table1[[#This Row],[Male% (3-5)]]</f>
        <v>0</v>
      </c>
      <c r="DB214" s="1">
        <f>Table1[[#This Row],[Female% (6-8)8]]+Table1[[#This Row],[Male%(6-8)9]]</f>
        <v>0</v>
      </c>
      <c r="DC214" s="1">
        <f>$CT214*Table1[[#This Row],[Female% (6-8)]]</f>
        <v>0</v>
      </c>
      <c r="DD214" s="1">
        <f>$CU214*Table1[[#This Row],[Male%(6-8)]]</f>
        <v>0</v>
      </c>
      <c r="DE214" s="1">
        <f>Table1[[#This Row],[Female% (9 - 11)11]]+Table1[[#This Row],[Male% (9 - 11)12]]</f>
        <v>0</v>
      </c>
      <c r="DF214" s="1">
        <f>$CT214*Table1[[#This Row],[Female% (9 - 11)]]</f>
        <v>0</v>
      </c>
      <c r="DG214" s="1">
        <f>$CU214*Table1[[#This Row],[Male% (9 - 11)]]</f>
        <v>0</v>
      </c>
      <c r="DH214" s="1">
        <f>Table1[[#This Row],[Female% (12-14)14]]+Table1[[#This Row],[Male%(12-14)15]]</f>
        <v>0</v>
      </c>
      <c r="DI214" s="1">
        <f>$CT214*Table1[[#This Row],[Female% (12-14)]]</f>
        <v>0</v>
      </c>
      <c r="DJ214" s="1">
        <f>$CU214*Table1[[#This Row],[Male%(12-14)]]</f>
        <v>0</v>
      </c>
      <c r="DK214" s="1">
        <f>Table1[[#This Row],[Female% (15-17)17]]+Table1[[#This Row],[Male%(15-17)18]]</f>
        <v>0</v>
      </c>
      <c r="DL214" s="1">
        <f>$CT214*Table1[[#This Row],[Female% (15-17)]]</f>
        <v>0</v>
      </c>
      <c r="DM214" s="1">
        <f>$CU214*Table1[[#This Row],[Male%(15-17)]]</f>
        <v>0</v>
      </c>
      <c r="DN214" s="1">
        <f>$AF214*Table1[[#This Row],[Total% (18-19)]]</f>
        <v>0</v>
      </c>
      <c r="DO214" s="1">
        <f>$CT214*Table1[[#This Row],[Female% (18-19)]]</f>
        <v>0</v>
      </c>
      <c r="DP214" s="1">
        <f>$CU214*Table1[[#This Row],[Male%(18-19)]]</f>
        <v>0</v>
      </c>
      <c r="DQ214" s="1">
        <f>$AF214*Table1[[#This Row],[Total% (20-24)]]</f>
        <v>0</v>
      </c>
      <c r="DR214" s="1">
        <f>$CT214*Table1[[#This Row],[Female% (20-24)]]</f>
        <v>0</v>
      </c>
      <c r="DS214" s="1">
        <f>$CU214*Table1[[#This Row],[Male% (20-24)]]</f>
        <v>0</v>
      </c>
      <c r="DT214" s="1">
        <f>$AF214*Table1[[#This Row],[Total% (25-29)]]</f>
        <v>0</v>
      </c>
      <c r="DU214" s="1">
        <f>$CT214*Table1[[#This Row],[Female% (25-29)]]</f>
        <v>0</v>
      </c>
      <c r="DV214" s="1">
        <f>$CU214*Table1[[#This Row],[Male% (25-29)]]</f>
        <v>0</v>
      </c>
      <c r="DW214" s="1">
        <f>$AF214*Table1[[#This Row],[Total%   (30-34)]]</f>
        <v>0</v>
      </c>
      <c r="DX214" s="1">
        <f>$CT214*Table1[[#This Row],[Female%   (30-34)]]</f>
        <v>0</v>
      </c>
      <c r="DY214" s="1">
        <f>$CU214*Table1[[#This Row],[Male%  (30-34)]]</f>
        <v>0</v>
      </c>
      <c r="DZ214" s="1">
        <f>$AF214*Table1[[#This Row],[Total% (35-39)]]</f>
        <v>0</v>
      </c>
      <c r="EA214" s="1">
        <f>$CT214*Table1[[#This Row],[Female% (35-39)]]</f>
        <v>0</v>
      </c>
      <c r="EB214" s="1">
        <f>$CU214*Table1[[#This Row],[Male% (35-39)]]</f>
        <v>0</v>
      </c>
      <c r="EC214" s="1">
        <f>$AF214*Table1[[#This Row],[Total% (40-44)]]</f>
        <v>0</v>
      </c>
      <c r="ED214" s="1">
        <f>$CT214*Table1[[#This Row],[Female% (40-44)]]</f>
        <v>0</v>
      </c>
      <c r="EE214" s="1">
        <f>$CU214*Table1[[#This Row],[Male%(55-59)]]</f>
        <v>0</v>
      </c>
      <c r="EF214" s="1">
        <f>$AF214*Table1[[#This Row],[Total% (45-49)]]</f>
        <v>0</v>
      </c>
      <c r="EG214" s="1">
        <f>$CT214*Table1[[#This Row],[Female% (45-49)]]</f>
        <v>0</v>
      </c>
      <c r="EH214" s="1">
        <f>$CU214*Table1[[#This Row],[Male% (45-49)]]</f>
        <v>0</v>
      </c>
      <c r="EI214" s="1">
        <f>$AF214*Table1[[#This Row],[Total% (50-54)]]</f>
        <v>0</v>
      </c>
      <c r="EJ214" s="1">
        <f>$CT214*Table1[[#This Row],[Female%(50-54)]]</f>
        <v>0</v>
      </c>
      <c r="EK214" s="1">
        <f>$CU214*Table1[[#This Row],[Male% (50-54)]]</f>
        <v>0</v>
      </c>
      <c r="EL214" s="1">
        <f>$AF214*Table1[[#This Row],[Total% (55-59)]]</f>
        <v>0</v>
      </c>
      <c r="EM214" s="1">
        <f>$CT214*Table1[[#This Row],[Female% (55-59)]]</f>
        <v>0</v>
      </c>
      <c r="EN214" s="1">
        <f>$CU214*Table1[[#This Row],[Male% (55-59)]]</f>
        <v>0</v>
      </c>
      <c r="EO214" s="1">
        <f>$AF214*Table1[[#This Row],[Total% (60-64)]]</f>
        <v>0</v>
      </c>
      <c r="EP214" s="1">
        <f>$CT214*Table1[[#This Row],[Female%(60-64)]]</f>
        <v>0</v>
      </c>
      <c r="EQ214" s="1">
        <f>$CU214*Table1[[#This Row],[Male%(60-64)]]</f>
        <v>0</v>
      </c>
      <c r="ER214" s="1">
        <f>$AF214*Table1[[#This Row],[Total% (&gt;=65)]]</f>
        <v>0</v>
      </c>
      <c r="ES214" s="1">
        <f>$CT214*Table1[[#This Row],[Female%(&gt;=65)]]</f>
        <v>0</v>
      </c>
      <c r="ET214" s="1">
        <f>$CU214*Table1[[#This Row],[Male% (&gt;=65)]]</f>
        <v>0</v>
      </c>
    </row>
    <row r="215" spans="1:150" hidden="1" x14ac:dyDescent="0.35">
      <c r="A215" t="s">
        <v>6</v>
      </c>
      <c r="B215" t="s">
        <v>7</v>
      </c>
      <c r="C215" t="s">
        <v>8</v>
      </c>
      <c r="D215" t="s">
        <v>9</v>
      </c>
      <c r="E215" t="s">
        <v>563</v>
      </c>
      <c r="F215" t="s">
        <v>564</v>
      </c>
      <c r="H215">
        <v>2</v>
      </c>
      <c r="I215" s="1">
        <v>78</v>
      </c>
      <c r="J215" s="1">
        <v>7337</v>
      </c>
      <c r="K215" s="1">
        <v>385</v>
      </c>
      <c r="L215" s="1">
        <v>0</v>
      </c>
      <c r="M215" s="1">
        <v>0</v>
      </c>
      <c r="N215" s="1">
        <v>385</v>
      </c>
      <c r="O215" s="3">
        <v>1</v>
      </c>
      <c r="P215" s="3">
        <v>0</v>
      </c>
      <c r="Q215" s="3">
        <v>0</v>
      </c>
      <c r="R215" s="3">
        <v>0</v>
      </c>
      <c r="S215" s="3">
        <v>0</v>
      </c>
      <c r="T215" s="1">
        <v>7800</v>
      </c>
      <c r="U215" s="1">
        <v>0</v>
      </c>
      <c r="V215" s="10">
        <f>Table1[[#This Row],[Pop NW+RATAA]]*Table1[[#This Row],[Perc_pop_Northern_Aleppo]]</f>
        <v>0</v>
      </c>
      <c r="W215" s="10">
        <f>Table1[[#This Row],[Pop NW+RATAA]]*Table1[[#This Row],[Perc_pop_Afrin District]]</f>
        <v>0</v>
      </c>
      <c r="X215" s="10">
        <f>Table1[[#This Row],[Pop NW+RATAA]]*Table1[[#This Row],[Perc_pop_Euphrates Shiled]]</f>
        <v>0</v>
      </c>
      <c r="Y215" s="10">
        <f>Table1[[#This Row],[Pop NW+RATAA]]*Table1[[#This Row],[Perc_Pop_Idleb_NSAG]]</f>
        <v>0</v>
      </c>
      <c r="Z215" s="3">
        <v>0</v>
      </c>
      <c r="AA215" s="3">
        <v>0</v>
      </c>
      <c r="AB215" s="3">
        <v>0</v>
      </c>
      <c r="AC215" s="3">
        <v>0</v>
      </c>
      <c r="AD215" s="1">
        <v>385</v>
      </c>
      <c r="AE215" s="1">
        <v>0</v>
      </c>
      <c r="AF215" s="1">
        <v>0</v>
      </c>
      <c r="AG215" s="1">
        <v>0</v>
      </c>
      <c r="AH215" s="1">
        <v>0</v>
      </c>
      <c r="AI215" s="1">
        <f>Table1[[#This Row],[NWS_pin]]*Table1[[#This Row],[Perc_pop_Northern_Aleppo]]</f>
        <v>0</v>
      </c>
      <c r="AJ215" s="1">
        <f>Table1[[#This Row],[NWS_pin]]*Table1[[#This Row],[Perc_pop_Afrin District]]</f>
        <v>0</v>
      </c>
      <c r="AK215" s="1">
        <f>Table1[[#This Row],[NWS_pin]]*Table1[[#This Row],[Perc_pop_Euphrates Shiled]]</f>
        <v>0</v>
      </c>
      <c r="AL215" s="1">
        <f>Table1[[#This Row],[NWS_pin]]*Table1[[#This Row],[Perc_Pop_Idleb_NSAG]]</f>
        <v>0</v>
      </c>
      <c r="AM215" s="4">
        <v>0.521986247405412</v>
      </c>
      <c r="AN215" s="4">
        <v>0.478013752594588</v>
      </c>
      <c r="AO215" s="4">
        <v>0.17144401210549101</v>
      </c>
      <c r="AP215" s="4">
        <v>0.42364641097509598</v>
      </c>
      <c r="AQ215" s="4">
        <v>0.53787303563218503</v>
      </c>
      <c r="AR215" s="4">
        <v>5.5518427233543699E-3</v>
      </c>
      <c r="AS215" s="4">
        <v>0</v>
      </c>
      <c r="AT215" s="4">
        <v>3.2928710669364598E-2</v>
      </c>
      <c r="AU215" s="4">
        <v>5.5744837384278302E-2</v>
      </c>
      <c r="AV215" s="4">
        <v>4.8611588212292001E-2</v>
      </c>
      <c r="AW215" s="4">
        <v>6.3534274292489701E-2</v>
      </c>
      <c r="AX215" s="4">
        <v>5.8077741634359602E-2</v>
      </c>
      <c r="AY215" s="4">
        <v>6.2007297969245E-2</v>
      </c>
      <c r="AZ215" s="4">
        <v>5.3786705332409E-2</v>
      </c>
      <c r="BA215" s="4">
        <v>5.86400033758624E-2</v>
      </c>
      <c r="BB215" s="4">
        <v>4.6897704456007397E-2</v>
      </c>
      <c r="BC215" s="4">
        <v>7.1462476611870093E-2</v>
      </c>
      <c r="BD215" s="4">
        <v>6.1762541247807203E-2</v>
      </c>
      <c r="BE215" s="4">
        <v>5.74005452814507E-2</v>
      </c>
      <c r="BF215" s="4">
        <v>6.6525797311711807E-2</v>
      </c>
      <c r="BG215" s="4">
        <v>4.2703479295339998E-2</v>
      </c>
      <c r="BH215" s="4">
        <v>5.2325272059594599E-2</v>
      </c>
      <c r="BI215" s="4">
        <v>3.2196577619259002E-2</v>
      </c>
      <c r="BJ215" s="4">
        <v>4.94813588762801E-2</v>
      </c>
      <c r="BK215" s="4">
        <v>6.2570542817456207E-2</v>
      </c>
      <c r="BL215" s="4">
        <v>3.5188100638481198E-2</v>
      </c>
      <c r="BM215" s="4">
        <v>1.8290021899963399E-2</v>
      </c>
      <c r="BN215" s="4">
        <v>8.5399102527479592E-3</v>
      </c>
      <c r="BO215" s="4">
        <v>2.89370465156552E-2</v>
      </c>
      <c r="BP215" s="4">
        <v>6.8157029909816993E-2</v>
      </c>
      <c r="BQ215" s="4">
        <v>9.0116528340326699E-2</v>
      </c>
      <c r="BR215" s="4">
        <v>4.4177476772632701E-2</v>
      </c>
      <c r="BS215" s="4">
        <v>0.113698512032037</v>
      </c>
      <c r="BT215" s="4">
        <v>0.12394234201379099</v>
      </c>
      <c r="BU215" s="4">
        <v>0.102512351922184</v>
      </c>
      <c r="BV215" s="4">
        <v>8.9873504927087303E-2</v>
      </c>
      <c r="BW215" s="4">
        <v>8.8532365884059994E-2</v>
      </c>
      <c r="BX215" s="4">
        <v>9.1338015377924506E-2</v>
      </c>
      <c r="BY215" s="4">
        <v>8.5816706582014804E-2</v>
      </c>
      <c r="BZ215" s="4">
        <v>8.4025180266762201E-2</v>
      </c>
      <c r="CA215" s="4">
        <v>8.7773035439397906E-2</v>
      </c>
      <c r="CB215" s="4">
        <v>4.61928590803957E-2</v>
      </c>
      <c r="CC215" s="4">
        <v>5.1715472180366498E-2</v>
      </c>
      <c r="CD215" s="4">
        <v>4.01622206891806E-2</v>
      </c>
      <c r="CE215" s="4">
        <v>5.7143514865928099E-2</v>
      </c>
      <c r="CF215" s="4">
        <v>3.9424040010723797E-2</v>
      </c>
      <c r="CG215" s="4">
        <v>7.6493004572989298E-2</v>
      </c>
      <c r="CH215" s="4">
        <v>6.1267655193947598E-2</v>
      </c>
      <c r="CI215" s="4">
        <v>7.2398626258535506E-2</v>
      </c>
      <c r="CJ215" s="4">
        <v>4.9112745875030499E-2</v>
      </c>
      <c r="CK215" s="4">
        <v>4.7411654598587802E-2</v>
      </c>
      <c r="CL215" s="4">
        <v>3.6411006151721097E-2</v>
      </c>
      <c r="CM215" s="4">
        <v>5.9424252919532398E-2</v>
      </c>
      <c r="CN215" s="4">
        <v>2.7190117675227998E-2</v>
      </c>
      <c r="CO215" s="4">
        <v>2.05358051450477E-2</v>
      </c>
      <c r="CP215" s="4">
        <v>3.44565605502253E-2</v>
      </c>
      <c r="CQ215" s="4">
        <v>5.8548461421065498E-2</v>
      </c>
      <c r="CR215" s="4">
        <v>5.4545772699871597E-2</v>
      </c>
      <c r="CS215" s="4">
        <v>6.2919357559026695E-2</v>
      </c>
      <c r="CT215" s="1">
        <f>Table1[[#This Row],[Female %]]*Table1[[#This Row],[NWS_pin]]</f>
        <v>0</v>
      </c>
      <c r="CU215" s="1">
        <f>Table1[[#This Row],[Male %]]*Table1[[#This Row],[NWS_pin]]</f>
        <v>0</v>
      </c>
      <c r="CV215" s="1">
        <f>Table1[[#This Row],[Female% (0-2)22]]+Table1[[#This Row],[Male%(0-2)3]]</f>
        <v>0</v>
      </c>
      <c r="CW215" s="1">
        <f>$CT215*Table1[[#This Row],[Female% (0-2)]]</f>
        <v>0</v>
      </c>
      <c r="CX215" s="1">
        <f>$CU215*Table1[[#This Row],[Male%(0-2)]]</f>
        <v>0</v>
      </c>
      <c r="CY215" s="1">
        <f>Table1[[#This Row],[Female%  (3-5)5]]+Table1[[#This Row],[Male% (3-5)6]]</f>
        <v>0</v>
      </c>
      <c r="CZ215" s="1">
        <f>$AF215*Table1[[#This Row],[Female%  (3-5)]]</f>
        <v>0</v>
      </c>
      <c r="DA215" s="1">
        <f>$CU215*Table1[[#This Row],[Male% (3-5)]]</f>
        <v>0</v>
      </c>
      <c r="DB215" s="1">
        <f>Table1[[#This Row],[Female% (6-8)8]]+Table1[[#This Row],[Male%(6-8)9]]</f>
        <v>0</v>
      </c>
      <c r="DC215" s="1">
        <f>$CT215*Table1[[#This Row],[Female% (6-8)]]</f>
        <v>0</v>
      </c>
      <c r="DD215" s="1">
        <f>$CU215*Table1[[#This Row],[Male%(6-8)]]</f>
        <v>0</v>
      </c>
      <c r="DE215" s="1">
        <f>Table1[[#This Row],[Female% (9 - 11)11]]+Table1[[#This Row],[Male% (9 - 11)12]]</f>
        <v>0</v>
      </c>
      <c r="DF215" s="1">
        <f>$CT215*Table1[[#This Row],[Female% (9 - 11)]]</f>
        <v>0</v>
      </c>
      <c r="DG215" s="1">
        <f>$CU215*Table1[[#This Row],[Male% (9 - 11)]]</f>
        <v>0</v>
      </c>
      <c r="DH215" s="1">
        <f>Table1[[#This Row],[Female% (12-14)14]]+Table1[[#This Row],[Male%(12-14)15]]</f>
        <v>0</v>
      </c>
      <c r="DI215" s="1">
        <f>$CT215*Table1[[#This Row],[Female% (12-14)]]</f>
        <v>0</v>
      </c>
      <c r="DJ215" s="1">
        <f>$CU215*Table1[[#This Row],[Male%(12-14)]]</f>
        <v>0</v>
      </c>
      <c r="DK215" s="1">
        <f>Table1[[#This Row],[Female% (15-17)17]]+Table1[[#This Row],[Male%(15-17)18]]</f>
        <v>0</v>
      </c>
      <c r="DL215" s="1">
        <f>$CT215*Table1[[#This Row],[Female% (15-17)]]</f>
        <v>0</v>
      </c>
      <c r="DM215" s="1">
        <f>$CU215*Table1[[#This Row],[Male%(15-17)]]</f>
        <v>0</v>
      </c>
      <c r="DN215" s="1">
        <f>$AF215*Table1[[#This Row],[Total% (18-19)]]</f>
        <v>0</v>
      </c>
      <c r="DO215" s="1">
        <f>$CT215*Table1[[#This Row],[Female% (18-19)]]</f>
        <v>0</v>
      </c>
      <c r="DP215" s="1">
        <f>$CU215*Table1[[#This Row],[Male%(18-19)]]</f>
        <v>0</v>
      </c>
      <c r="DQ215" s="1">
        <f>$AF215*Table1[[#This Row],[Total% (20-24)]]</f>
        <v>0</v>
      </c>
      <c r="DR215" s="1">
        <f>$CT215*Table1[[#This Row],[Female% (20-24)]]</f>
        <v>0</v>
      </c>
      <c r="DS215" s="1">
        <f>$CU215*Table1[[#This Row],[Male% (20-24)]]</f>
        <v>0</v>
      </c>
      <c r="DT215" s="1">
        <f>$AF215*Table1[[#This Row],[Total% (25-29)]]</f>
        <v>0</v>
      </c>
      <c r="DU215" s="1">
        <f>$CT215*Table1[[#This Row],[Female% (25-29)]]</f>
        <v>0</v>
      </c>
      <c r="DV215" s="1">
        <f>$CU215*Table1[[#This Row],[Male% (25-29)]]</f>
        <v>0</v>
      </c>
      <c r="DW215" s="1">
        <f>$AF215*Table1[[#This Row],[Total%   (30-34)]]</f>
        <v>0</v>
      </c>
      <c r="DX215" s="1">
        <f>$CT215*Table1[[#This Row],[Female%   (30-34)]]</f>
        <v>0</v>
      </c>
      <c r="DY215" s="1">
        <f>$CU215*Table1[[#This Row],[Male%  (30-34)]]</f>
        <v>0</v>
      </c>
      <c r="DZ215" s="1">
        <f>$AF215*Table1[[#This Row],[Total% (35-39)]]</f>
        <v>0</v>
      </c>
      <c r="EA215" s="1">
        <f>$CT215*Table1[[#This Row],[Female% (35-39)]]</f>
        <v>0</v>
      </c>
      <c r="EB215" s="1">
        <f>$CU215*Table1[[#This Row],[Male% (35-39)]]</f>
        <v>0</v>
      </c>
      <c r="EC215" s="1">
        <f>$AF215*Table1[[#This Row],[Total% (40-44)]]</f>
        <v>0</v>
      </c>
      <c r="ED215" s="1">
        <f>$CT215*Table1[[#This Row],[Female% (40-44)]]</f>
        <v>0</v>
      </c>
      <c r="EE215" s="1">
        <f>$CU215*Table1[[#This Row],[Male%(55-59)]]</f>
        <v>0</v>
      </c>
      <c r="EF215" s="1">
        <f>$AF215*Table1[[#This Row],[Total% (45-49)]]</f>
        <v>0</v>
      </c>
      <c r="EG215" s="1">
        <f>$CT215*Table1[[#This Row],[Female% (45-49)]]</f>
        <v>0</v>
      </c>
      <c r="EH215" s="1">
        <f>$CU215*Table1[[#This Row],[Male% (45-49)]]</f>
        <v>0</v>
      </c>
      <c r="EI215" s="1">
        <f>$AF215*Table1[[#This Row],[Total% (50-54)]]</f>
        <v>0</v>
      </c>
      <c r="EJ215" s="1">
        <f>$CT215*Table1[[#This Row],[Female%(50-54)]]</f>
        <v>0</v>
      </c>
      <c r="EK215" s="1">
        <f>$CU215*Table1[[#This Row],[Male% (50-54)]]</f>
        <v>0</v>
      </c>
      <c r="EL215" s="1">
        <f>$AF215*Table1[[#This Row],[Total% (55-59)]]</f>
        <v>0</v>
      </c>
      <c r="EM215" s="1">
        <f>$CT215*Table1[[#This Row],[Female% (55-59)]]</f>
        <v>0</v>
      </c>
      <c r="EN215" s="1">
        <f>$CU215*Table1[[#This Row],[Male% (55-59)]]</f>
        <v>0</v>
      </c>
      <c r="EO215" s="1">
        <f>$AF215*Table1[[#This Row],[Total% (60-64)]]</f>
        <v>0</v>
      </c>
      <c r="EP215" s="1">
        <f>$CT215*Table1[[#This Row],[Female%(60-64)]]</f>
        <v>0</v>
      </c>
      <c r="EQ215" s="1">
        <f>$CU215*Table1[[#This Row],[Male%(60-64)]]</f>
        <v>0</v>
      </c>
      <c r="ER215" s="1">
        <f>$AF215*Table1[[#This Row],[Total% (&gt;=65)]]</f>
        <v>0</v>
      </c>
      <c r="ES215" s="1">
        <f>$CT215*Table1[[#This Row],[Female%(&gt;=65)]]</f>
        <v>0</v>
      </c>
      <c r="ET215" s="1">
        <f>$CU215*Table1[[#This Row],[Male% (&gt;=65)]]</f>
        <v>0</v>
      </c>
    </row>
    <row r="216" spans="1:150" hidden="1" x14ac:dyDescent="0.35">
      <c r="A216" t="s">
        <v>6</v>
      </c>
      <c r="B216" t="s">
        <v>7</v>
      </c>
      <c r="C216" t="s">
        <v>8</v>
      </c>
      <c r="D216" t="s">
        <v>9</v>
      </c>
      <c r="E216" t="s">
        <v>553</v>
      </c>
      <c r="F216" t="s">
        <v>554</v>
      </c>
      <c r="H216">
        <v>2</v>
      </c>
      <c r="I216" s="1">
        <v>0</v>
      </c>
      <c r="J216" s="1">
        <v>6767</v>
      </c>
      <c r="K216" s="1">
        <v>1463</v>
      </c>
      <c r="L216" s="1">
        <v>0</v>
      </c>
      <c r="M216" s="1">
        <v>0</v>
      </c>
      <c r="N216" s="1">
        <v>1463</v>
      </c>
      <c r="O216" s="3">
        <v>1</v>
      </c>
      <c r="P216" s="3">
        <v>0</v>
      </c>
      <c r="Q216" s="3">
        <v>0</v>
      </c>
      <c r="R216" s="3">
        <v>0</v>
      </c>
      <c r="S216" s="3">
        <v>0</v>
      </c>
      <c r="T216" s="1">
        <v>8230</v>
      </c>
      <c r="U216" s="1">
        <v>0</v>
      </c>
      <c r="V216" s="10">
        <f>Table1[[#This Row],[Pop NW+RATAA]]*Table1[[#This Row],[Perc_pop_Northern_Aleppo]]</f>
        <v>0</v>
      </c>
      <c r="W216" s="10">
        <f>Table1[[#This Row],[Pop NW+RATAA]]*Table1[[#This Row],[Perc_pop_Afrin District]]</f>
        <v>0</v>
      </c>
      <c r="X216" s="10">
        <f>Table1[[#This Row],[Pop NW+RATAA]]*Table1[[#This Row],[Perc_pop_Euphrates Shiled]]</f>
        <v>0</v>
      </c>
      <c r="Y216" s="10">
        <f>Table1[[#This Row],[Pop NW+RATAA]]*Table1[[#This Row],[Perc_Pop_Idleb_NSAG]]</f>
        <v>0</v>
      </c>
      <c r="Z216" s="3">
        <v>0</v>
      </c>
      <c r="AA216" s="3">
        <v>0</v>
      </c>
      <c r="AB216" s="3">
        <v>0</v>
      </c>
      <c r="AC216" s="3">
        <v>0</v>
      </c>
      <c r="AD216" s="1">
        <v>1463</v>
      </c>
      <c r="AE216" s="1">
        <v>0</v>
      </c>
      <c r="AF216" s="1">
        <v>0</v>
      </c>
      <c r="AG216" s="1">
        <v>0</v>
      </c>
      <c r="AH216" s="1">
        <v>0</v>
      </c>
      <c r="AI216" s="1">
        <f>Table1[[#This Row],[NWS_pin]]*Table1[[#This Row],[Perc_pop_Northern_Aleppo]]</f>
        <v>0</v>
      </c>
      <c r="AJ216" s="1">
        <f>Table1[[#This Row],[NWS_pin]]*Table1[[#This Row],[Perc_pop_Afrin District]]</f>
        <v>0</v>
      </c>
      <c r="AK216" s="1">
        <f>Table1[[#This Row],[NWS_pin]]*Table1[[#This Row],[Perc_pop_Euphrates Shiled]]</f>
        <v>0</v>
      </c>
      <c r="AL216" s="1">
        <f>Table1[[#This Row],[NWS_pin]]*Table1[[#This Row],[Perc_Pop_Idleb_NSAG]]</f>
        <v>0</v>
      </c>
      <c r="AM216" s="4">
        <v>0.49837636933062801</v>
      </c>
      <c r="AN216" s="4">
        <v>0.50162363066937199</v>
      </c>
      <c r="AO216" s="4">
        <v>0.15120082815735</v>
      </c>
      <c r="AP216" s="4">
        <v>0.43373443777728798</v>
      </c>
      <c r="AQ216" s="4">
        <v>0.52396823548641702</v>
      </c>
      <c r="AR216" s="4">
        <v>2.8467408939071201E-3</v>
      </c>
      <c r="AS216" s="4">
        <v>0</v>
      </c>
      <c r="AT216" s="4">
        <v>3.9450585842388003E-2</v>
      </c>
      <c r="AU216" s="4">
        <v>4.78169295293304E-2</v>
      </c>
      <c r="AV216" s="4">
        <v>5.0513959374515201E-2</v>
      </c>
      <c r="AW216" s="4">
        <v>4.5137358910964799E-2</v>
      </c>
      <c r="AX216" s="4">
        <v>5.1169795029445402E-2</v>
      </c>
      <c r="AY216" s="4">
        <v>4.1933832029587899E-2</v>
      </c>
      <c r="AZ216" s="4">
        <v>6.03459690087269E-2</v>
      </c>
      <c r="BA216" s="4">
        <v>5.2957688744271703E-2</v>
      </c>
      <c r="BB216" s="4">
        <v>4.4261629984542097E-2</v>
      </c>
      <c r="BC216" s="4">
        <v>6.1597453554347703E-2</v>
      </c>
      <c r="BD216" s="4">
        <v>5.1215413895208499E-2</v>
      </c>
      <c r="BE216" s="4">
        <v>4.7093599440348501E-2</v>
      </c>
      <c r="BF216" s="4">
        <v>5.5310545777904098E-2</v>
      </c>
      <c r="BG216" s="4">
        <v>4.7630602021850897E-2</v>
      </c>
      <c r="BH216" s="4">
        <v>4.7716017788409198E-2</v>
      </c>
      <c r="BI216" s="4">
        <v>4.7545739194387801E-2</v>
      </c>
      <c r="BJ216" s="4">
        <v>5.5878519601182598E-2</v>
      </c>
      <c r="BK216" s="4">
        <v>5.3082942008780901E-2</v>
      </c>
      <c r="BL216" s="4">
        <v>5.8656000017773102E-2</v>
      </c>
      <c r="BM216" s="4">
        <v>2.2208041530368799E-2</v>
      </c>
      <c r="BN216" s="4">
        <v>1.5285197541262801E-2</v>
      </c>
      <c r="BO216" s="4">
        <v>2.9086070478345299E-2</v>
      </c>
      <c r="BP216" s="4">
        <v>8.8296077825348901E-2</v>
      </c>
      <c r="BQ216" s="4">
        <v>9.2133835694875599E-2</v>
      </c>
      <c r="BR216" s="4">
        <v>8.4483163687247995E-2</v>
      </c>
      <c r="BS216" s="4">
        <v>0.108251933153947</v>
      </c>
      <c r="BT216" s="4">
        <v>0.15443427135369101</v>
      </c>
      <c r="BU216" s="4">
        <v>6.2368556391024302E-2</v>
      </c>
      <c r="BV216" s="4">
        <v>9.6052750720093102E-2</v>
      </c>
      <c r="BW216" s="4">
        <v>9.6265718384475396E-2</v>
      </c>
      <c r="BX216" s="4">
        <v>9.58411617022112E-2</v>
      </c>
      <c r="BY216" s="4">
        <v>6.5159160600756605E-2</v>
      </c>
      <c r="BZ216" s="4">
        <v>5.7929653018298798E-2</v>
      </c>
      <c r="CA216" s="4">
        <v>7.2341867954845304E-2</v>
      </c>
      <c r="CB216" s="4">
        <v>5.3457267411770801E-2</v>
      </c>
      <c r="CC216" s="4">
        <v>4.9089333998270299E-2</v>
      </c>
      <c r="CD216" s="4">
        <v>5.7796925001652399E-2</v>
      </c>
      <c r="CE216" s="4">
        <v>5.7572716574989802E-2</v>
      </c>
      <c r="CF216" s="4">
        <v>5.8302428330865401E-2</v>
      </c>
      <c r="CG216" s="4">
        <v>5.6847728609279599E-2</v>
      </c>
      <c r="CH216" s="4">
        <v>4.6377779081981499E-2</v>
      </c>
      <c r="CI216" s="4">
        <v>5.9456483531750599E-2</v>
      </c>
      <c r="CJ216" s="4">
        <v>3.33837396454294E-2</v>
      </c>
      <c r="CK216" s="4">
        <v>7.1061885698091895E-2</v>
      </c>
      <c r="CL216" s="4">
        <v>6.9512350974337E-2</v>
      </c>
      <c r="CM216" s="4">
        <v>7.2601389506447594E-2</v>
      </c>
      <c r="CN216" s="4">
        <v>3.43397768467055E-2</v>
      </c>
      <c r="CO216" s="4">
        <v>2.0144377334463798E-2</v>
      </c>
      <c r="CP216" s="4">
        <v>4.8443282418538902E-2</v>
      </c>
      <c r="CQ216" s="4">
        <v>5.05536617346568E-2</v>
      </c>
      <c r="CR216" s="4">
        <v>4.28443692115252E-2</v>
      </c>
      <c r="CS216" s="4">
        <v>5.8213048140873497E-2</v>
      </c>
      <c r="CT216" s="1">
        <f>Table1[[#This Row],[Female %]]*Table1[[#This Row],[NWS_pin]]</f>
        <v>0</v>
      </c>
      <c r="CU216" s="1">
        <f>Table1[[#This Row],[Male %]]*Table1[[#This Row],[NWS_pin]]</f>
        <v>0</v>
      </c>
      <c r="CV216" s="1">
        <f>Table1[[#This Row],[Female% (0-2)22]]+Table1[[#This Row],[Male%(0-2)3]]</f>
        <v>0</v>
      </c>
      <c r="CW216" s="1">
        <f>$CT216*Table1[[#This Row],[Female% (0-2)]]</f>
        <v>0</v>
      </c>
      <c r="CX216" s="1">
        <f>$CU216*Table1[[#This Row],[Male%(0-2)]]</f>
        <v>0</v>
      </c>
      <c r="CY216" s="1">
        <f>Table1[[#This Row],[Female%  (3-5)5]]+Table1[[#This Row],[Male% (3-5)6]]</f>
        <v>0</v>
      </c>
      <c r="CZ216" s="1">
        <f>$AF216*Table1[[#This Row],[Female%  (3-5)]]</f>
        <v>0</v>
      </c>
      <c r="DA216" s="1">
        <f>$CU216*Table1[[#This Row],[Male% (3-5)]]</f>
        <v>0</v>
      </c>
      <c r="DB216" s="1">
        <f>Table1[[#This Row],[Female% (6-8)8]]+Table1[[#This Row],[Male%(6-8)9]]</f>
        <v>0</v>
      </c>
      <c r="DC216" s="1">
        <f>$CT216*Table1[[#This Row],[Female% (6-8)]]</f>
        <v>0</v>
      </c>
      <c r="DD216" s="1">
        <f>$CU216*Table1[[#This Row],[Male%(6-8)]]</f>
        <v>0</v>
      </c>
      <c r="DE216" s="1">
        <f>Table1[[#This Row],[Female% (9 - 11)11]]+Table1[[#This Row],[Male% (9 - 11)12]]</f>
        <v>0</v>
      </c>
      <c r="DF216" s="1">
        <f>$CT216*Table1[[#This Row],[Female% (9 - 11)]]</f>
        <v>0</v>
      </c>
      <c r="DG216" s="1">
        <f>$CU216*Table1[[#This Row],[Male% (9 - 11)]]</f>
        <v>0</v>
      </c>
      <c r="DH216" s="1">
        <f>Table1[[#This Row],[Female% (12-14)14]]+Table1[[#This Row],[Male%(12-14)15]]</f>
        <v>0</v>
      </c>
      <c r="DI216" s="1">
        <f>$CT216*Table1[[#This Row],[Female% (12-14)]]</f>
        <v>0</v>
      </c>
      <c r="DJ216" s="1">
        <f>$CU216*Table1[[#This Row],[Male%(12-14)]]</f>
        <v>0</v>
      </c>
      <c r="DK216" s="1">
        <f>Table1[[#This Row],[Female% (15-17)17]]+Table1[[#This Row],[Male%(15-17)18]]</f>
        <v>0</v>
      </c>
      <c r="DL216" s="1">
        <f>$CT216*Table1[[#This Row],[Female% (15-17)]]</f>
        <v>0</v>
      </c>
      <c r="DM216" s="1">
        <f>$CU216*Table1[[#This Row],[Male%(15-17)]]</f>
        <v>0</v>
      </c>
      <c r="DN216" s="1">
        <f>$AF216*Table1[[#This Row],[Total% (18-19)]]</f>
        <v>0</v>
      </c>
      <c r="DO216" s="1">
        <f>$CT216*Table1[[#This Row],[Female% (18-19)]]</f>
        <v>0</v>
      </c>
      <c r="DP216" s="1">
        <f>$CU216*Table1[[#This Row],[Male%(18-19)]]</f>
        <v>0</v>
      </c>
      <c r="DQ216" s="1">
        <f>$AF216*Table1[[#This Row],[Total% (20-24)]]</f>
        <v>0</v>
      </c>
      <c r="DR216" s="1">
        <f>$CT216*Table1[[#This Row],[Female% (20-24)]]</f>
        <v>0</v>
      </c>
      <c r="DS216" s="1">
        <f>$CU216*Table1[[#This Row],[Male% (20-24)]]</f>
        <v>0</v>
      </c>
      <c r="DT216" s="1">
        <f>$AF216*Table1[[#This Row],[Total% (25-29)]]</f>
        <v>0</v>
      </c>
      <c r="DU216" s="1">
        <f>$CT216*Table1[[#This Row],[Female% (25-29)]]</f>
        <v>0</v>
      </c>
      <c r="DV216" s="1">
        <f>$CU216*Table1[[#This Row],[Male% (25-29)]]</f>
        <v>0</v>
      </c>
      <c r="DW216" s="1">
        <f>$AF216*Table1[[#This Row],[Total%   (30-34)]]</f>
        <v>0</v>
      </c>
      <c r="DX216" s="1">
        <f>$CT216*Table1[[#This Row],[Female%   (30-34)]]</f>
        <v>0</v>
      </c>
      <c r="DY216" s="1">
        <f>$CU216*Table1[[#This Row],[Male%  (30-34)]]</f>
        <v>0</v>
      </c>
      <c r="DZ216" s="1">
        <f>$AF216*Table1[[#This Row],[Total% (35-39)]]</f>
        <v>0</v>
      </c>
      <c r="EA216" s="1">
        <f>$CT216*Table1[[#This Row],[Female% (35-39)]]</f>
        <v>0</v>
      </c>
      <c r="EB216" s="1">
        <f>$CU216*Table1[[#This Row],[Male% (35-39)]]</f>
        <v>0</v>
      </c>
      <c r="EC216" s="1">
        <f>$AF216*Table1[[#This Row],[Total% (40-44)]]</f>
        <v>0</v>
      </c>
      <c r="ED216" s="1">
        <f>$CT216*Table1[[#This Row],[Female% (40-44)]]</f>
        <v>0</v>
      </c>
      <c r="EE216" s="1">
        <f>$CU216*Table1[[#This Row],[Male%(55-59)]]</f>
        <v>0</v>
      </c>
      <c r="EF216" s="1">
        <f>$AF216*Table1[[#This Row],[Total% (45-49)]]</f>
        <v>0</v>
      </c>
      <c r="EG216" s="1">
        <f>$CT216*Table1[[#This Row],[Female% (45-49)]]</f>
        <v>0</v>
      </c>
      <c r="EH216" s="1">
        <f>$CU216*Table1[[#This Row],[Male% (45-49)]]</f>
        <v>0</v>
      </c>
      <c r="EI216" s="1">
        <f>$AF216*Table1[[#This Row],[Total% (50-54)]]</f>
        <v>0</v>
      </c>
      <c r="EJ216" s="1">
        <f>$CT216*Table1[[#This Row],[Female%(50-54)]]</f>
        <v>0</v>
      </c>
      <c r="EK216" s="1">
        <f>$CU216*Table1[[#This Row],[Male% (50-54)]]</f>
        <v>0</v>
      </c>
      <c r="EL216" s="1">
        <f>$AF216*Table1[[#This Row],[Total% (55-59)]]</f>
        <v>0</v>
      </c>
      <c r="EM216" s="1">
        <f>$CT216*Table1[[#This Row],[Female% (55-59)]]</f>
        <v>0</v>
      </c>
      <c r="EN216" s="1">
        <f>$CU216*Table1[[#This Row],[Male% (55-59)]]</f>
        <v>0</v>
      </c>
      <c r="EO216" s="1">
        <f>$AF216*Table1[[#This Row],[Total% (60-64)]]</f>
        <v>0</v>
      </c>
      <c r="EP216" s="1">
        <f>$CT216*Table1[[#This Row],[Female%(60-64)]]</f>
        <v>0</v>
      </c>
      <c r="EQ216" s="1">
        <f>$CU216*Table1[[#This Row],[Male%(60-64)]]</f>
        <v>0</v>
      </c>
      <c r="ER216" s="1">
        <f>$AF216*Table1[[#This Row],[Total% (&gt;=65)]]</f>
        <v>0</v>
      </c>
      <c r="ES216" s="1">
        <f>$CT216*Table1[[#This Row],[Female%(&gt;=65)]]</f>
        <v>0</v>
      </c>
      <c r="ET216" s="1">
        <f>$CU216*Table1[[#This Row],[Male% (&gt;=65)]]</f>
        <v>0</v>
      </c>
    </row>
    <row r="217" spans="1:150" hidden="1" x14ac:dyDescent="0.35">
      <c r="A217" t="s">
        <v>6</v>
      </c>
      <c r="B217" t="s">
        <v>7</v>
      </c>
      <c r="C217" t="s">
        <v>8</v>
      </c>
      <c r="D217" t="s">
        <v>9</v>
      </c>
      <c r="E217" t="s">
        <v>10</v>
      </c>
      <c r="F217" t="s">
        <v>11</v>
      </c>
      <c r="H217">
        <v>2</v>
      </c>
      <c r="I217" s="1">
        <v>220</v>
      </c>
      <c r="J217" s="1">
        <v>22419</v>
      </c>
      <c r="K217" s="1">
        <v>221</v>
      </c>
      <c r="L217" s="1">
        <v>0</v>
      </c>
      <c r="M217" s="1">
        <v>0</v>
      </c>
      <c r="N217" s="1">
        <v>221</v>
      </c>
      <c r="O217" s="3">
        <v>1</v>
      </c>
      <c r="P217" s="3">
        <v>0</v>
      </c>
      <c r="Q217" s="3">
        <v>0</v>
      </c>
      <c r="R217" s="3">
        <v>0</v>
      </c>
      <c r="S217" s="3">
        <v>0</v>
      </c>
      <c r="T217" s="1">
        <v>22860</v>
      </c>
      <c r="U217" s="1">
        <v>0</v>
      </c>
      <c r="V217" s="10">
        <f>Table1[[#This Row],[Pop NW+RATAA]]*Table1[[#This Row],[Perc_pop_Northern_Aleppo]]</f>
        <v>0</v>
      </c>
      <c r="W217" s="10">
        <f>Table1[[#This Row],[Pop NW+RATAA]]*Table1[[#This Row],[Perc_pop_Afrin District]]</f>
        <v>0</v>
      </c>
      <c r="X217" s="10">
        <f>Table1[[#This Row],[Pop NW+RATAA]]*Table1[[#This Row],[Perc_pop_Euphrates Shiled]]</f>
        <v>0</v>
      </c>
      <c r="Y217" s="10">
        <f>Table1[[#This Row],[Pop NW+RATAA]]*Table1[[#This Row],[Perc_Pop_Idleb_NSAG]]</f>
        <v>0</v>
      </c>
      <c r="Z217" s="3">
        <v>0</v>
      </c>
      <c r="AA217" s="3">
        <v>0</v>
      </c>
      <c r="AB217" s="3">
        <v>0</v>
      </c>
      <c r="AC217" s="3">
        <v>0</v>
      </c>
      <c r="AD217" s="1">
        <v>221</v>
      </c>
      <c r="AE217" s="1">
        <v>0</v>
      </c>
      <c r="AF217" s="1">
        <v>0</v>
      </c>
      <c r="AG217" s="1">
        <v>0</v>
      </c>
      <c r="AH217" s="1">
        <v>0</v>
      </c>
      <c r="AI217" s="1">
        <f>Table1[[#This Row],[NWS_pin]]*Table1[[#This Row],[Perc_pop_Northern_Aleppo]]</f>
        <v>0</v>
      </c>
      <c r="AJ217" s="1">
        <f>Table1[[#This Row],[NWS_pin]]*Table1[[#This Row],[Perc_pop_Afrin District]]</f>
        <v>0</v>
      </c>
      <c r="AK217" s="1">
        <f>Table1[[#This Row],[NWS_pin]]*Table1[[#This Row],[Perc_pop_Euphrates Shiled]]</f>
        <v>0</v>
      </c>
      <c r="AL217" s="1">
        <f>Table1[[#This Row],[NWS_pin]]*Table1[[#This Row],[Perc_Pop_Idleb_NSAG]]</f>
        <v>0</v>
      </c>
      <c r="AM217" s="4">
        <v>0.51749102054323204</v>
      </c>
      <c r="AN217" s="4">
        <v>0.48250897945676802</v>
      </c>
      <c r="AO217" s="4">
        <v>0.14399852995222301</v>
      </c>
      <c r="AP217" s="4">
        <v>0.40980717409360201</v>
      </c>
      <c r="AQ217" s="4">
        <v>0.57167267297277302</v>
      </c>
      <c r="AR217" s="4">
        <v>0</v>
      </c>
      <c r="AS217" s="4">
        <v>0</v>
      </c>
      <c r="AT217" s="4">
        <v>1.85201529336252E-2</v>
      </c>
      <c r="AU217" s="4">
        <v>5.4927111162967002E-2</v>
      </c>
      <c r="AV217" s="4">
        <v>5.9422822345777102E-2</v>
      </c>
      <c r="AW217" s="4">
        <v>5.0105459614265699E-2</v>
      </c>
      <c r="AX217" s="4">
        <v>6.9420724894135505E-2</v>
      </c>
      <c r="AY217" s="4">
        <v>6.7882195560386299E-2</v>
      </c>
      <c r="AZ217" s="4">
        <v>7.1070798051227693E-2</v>
      </c>
      <c r="BA217" s="4">
        <v>6.23704208267871E-2</v>
      </c>
      <c r="BB217" s="4">
        <v>7.0821175257444594E-2</v>
      </c>
      <c r="BC217" s="4">
        <v>5.3306984246591797E-2</v>
      </c>
      <c r="BD217" s="4">
        <v>5.2805241497612398E-2</v>
      </c>
      <c r="BE217" s="4">
        <v>4.7288435544779302E-2</v>
      </c>
      <c r="BF217" s="4">
        <v>5.8722017483594499E-2</v>
      </c>
      <c r="BG217" s="4">
        <v>4.2095081827010203E-2</v>
      </c>
      <c r="BH217" s="4">
        <v>4.1152404442400703E-2</v>
      </c>
      <c r="BI217" s="4">
        <v>4.3106103595669999E-2</v>
      </c>
      <c r="BJ217" s="4">
        <v>5.1420419575659203E-2</v>
      </c>
      <c r="BK217" s="4">
        <v>5.8842439697337101E-2</v>
      </c>
      <c r="BL217" s="4">
        <v>4.3460300840493599E-2</v>
      </c>
      <c r="BM217" s="4">
        <v>2.74079218534692E-2</v>
      </c>
      <c r="BN217" s="4">
        <v>1.9647171940972399E-2</v>
      </c>
      <c r="BO217" s="4">
        <v>3.5731328387623898E-2</v>
      </c>
      <c r="BP217" s="4">
        <v>5.9644187876289299E-2</v>
      </c>
      <c r="BQ217" s="4">
        <v>4.8610147290386402E-2</v>
      </c>
      <c r="BR217" s="4">
        <v>7.1478199607932003E-2</v>
      </c>
      <c r="BS217" s="4">
        <v>9.8775935394783507E-2</v>
      </c>
      <c r="BT217" s="4">
        <v>0.16032217159260301</v>
      </c>
      <c r="BU217" s="4">
        <v>3.2767579205303897E-2</v>
      </c>
      <c r="BV217" s="4">
        <v>0.105414412863701</v>
      </c>
      <c r="BW217" s="4">
        <v>0.11091481682761301</v>
      </c>
      <c r="BX217" s="4">
        <v>9.9515228015597201E-2</v>
      </c>
      <c r="BY217" s="4">
        <v>7.8069516127904096E-2</v>
      </c>
      <c r="BZ217" s="4">
        <v>5.91140281203405E-2</v>
      </c>
      <c r="CA217" s="4">
        <v>9.8399282518931194E-2</v>
      </c>
      <c r="CB217" s="4">
        <v>5.4006396400443697E-2</v>
      </c>
      <c r="CC217" s="4">
        <v>5.2069590178782897E-2</v>
      </c>
      <c r="CD217" s="4">
        <v>5.6083621635443698E-2</v>
      </c>
      <c r="CE217" s="4">
        <v>5.1754294054863703E-2</v>
      </c>
      <c r="CF217" s="4">
        <v>4.6893385170631102E-2</v>
      </c>
      <c r="CG217" s="4">
        <v>5.6967620244360202E-2</v>
      </c>
      <c r="CH217" s="4">
        <v>5.0339906574276901E-2</v>
      </c>
      <c r="CI217" s="4">
        <v>5.1811518470520998E-2</v>
      </c>
      <c r="CJ217" s="4">
        <v>4.8761602388335601E-2</v>
      </c>
      <c r="CK217" s="4">
        <v>5.6426301319049403E-2</v>
      </c>
      <c r="CL217" s="4">
        <v>5.3301562086311899E-2</v>
      </c>
      <c r="CM217" s="4">
        <v>5.9777585053294703E-2</v>
      </c>
      <c r="CN217" s="4">
        <v>2.9848522663118399E-2</v>
      </c>
      <c r="CO217" s="4">
        <v>0</v>
      </c>
      <c r="CP217" s="4">
        <v>6.1861071884555002E-2</v>
      </c>
      <c r="CQ217" s="4">
        <v>5.5273605087929799E-2</v>
      </c>
      <c r="CR217" s="4">
        <v>5.1906135473712103E-2</v>
      </c>
      <c r="CS217" s="4">
        <v>5.8885217226779002E-2</v>
      </c>
      <c r="CT217" s="1">
        <f>Table1[[#This Row],[Female %]]*Table1[[#This Row],[NWS_pin]]</f>
        <v>0</v>
      </c>
      <c r="CU217" s="1">
        <f>Table1[[#This Row],[Male %]]*Table1[[#This Row],[NWS_pin]]</f>
        <v>0</v>
      </c>
      <c r="CV217" s="1">
        <f>Table1[[#This Row],[Female% (0-2)22]]+Table1[[#This Row],[Male%(0-2)3]]</f>
        <v>0</v>
      </c>
      <c r="CW217" s="1">
        <f>$CT217*Table1[[#This Row],[Female% (0-2)]]</f>
        <v>0</v>
      </c>
      <c r="CX217" s="1">
        <f>$CU217*Table1[[#This Row],[Male%(0-2)]]</f>
        <v>0</v>
      </c>
      <c r="CY217" s="1">
        <f>Table1[[#This Row],[Female%  (3-5)5]]+Table1[[#This Row],[Male% (3-5)6]]</f>
        <v>0</v>
      </c>
      <c r="CZ217" s="1">
        <f>$AF217*Table1[[#This Row],[Female%  (3-5)]]</f>
        <v>0</v>
      </c>
      <c r="DA217" s="1">
        <f>$CU217*Table1[[#This Row],[Male% (3-5)]]</f>
        <v>0</v>
      </c>
      <c r="DB217" s="1">
        <f>Table1[[#This Row],[Female% (6-8)8]]+Table1[[#This Row],[Male%(6-8)9]]</f>
        <v>0</v>
      </c>
      <c r="DC217" s="1">
        <f>$CT217*Table1[[#This Row],[Female% (6-8)]]</f>
        <v>0</v>
      </c>
      <c r="DD217" s="1">
        <f>$CU217*Table1[[#This Row],[Male%(6-8)]]</f>
        <v>0</v>
      </c>
      <c r="DE217" s="1">
        <f>Table1[[#This Row],[Female% (9 - 11)11]]+Table1[[#This Row],[Male% (9 - 11)12]]</f>
        <v>0</v>
      </c>
      <c r="DF217" s="1">
        <f>$CT217*Table1[[#This Row],[Female% (9 - 11)]]</f>
        <v>0</v>
      </c>
      <c r="DG217" s="1">
        <f>$CU217*Table1[[#This Row],[Male% (9 - 11)]]</f>
        <v>0</v>
      </c>
      <c r="DH217" s="1">
        <f>Table1[[#This Row],[Female% (12-14)14]]+Table1[[#This Row],[Male%(12-14)15]]</f>
        <v>0</v>
      </c>
      <c r="DI217" s="1">
        <f>$CT217*Table1[[#This Row],[Female% (12-14)]]</f>
        <v>0</v>
      </c>
      <c r="DJ217" s="1">
        <f>$CU217*Table1[[#This Row],[Male%(12-14)]]</f>
        <v>0</v>
      </c>
      <c r="DK217" s="1">
        <f>Table1[[#This Row],[Female% (15-17)17]]+Table1[[#This Row],[Male%(15-17)18]]</f>
        <v>0</v>
      </c>
      <c r="DL217" s="1">
        <f>$CT217*Table1[[#This Row],[Female% (15-17)]]</f>
        <v>0</v>
      </c>
      <c r="DM217" s="1">
        <f>$CU217*Table1[[#This Row],[Male%(15-17)]]</f>
        <v>0</v>
      </c>
      <c r="DN217" s="1">
        <f>$AF217*Table1[[#This Row],[Total% (18-19)]]</f>
        <v>0</v>
      </c>
      <c r="DO217" s="1">
        <f>$CT217*Table1[[#This Row],[Female% (18-19)]]</f>
        <v>0</v>
      </c>
      <c r="DP217" s="1">
        <f>$CU217*Table1[[#This Row],[Male%(18-19)]]</f>
        <v>0</v>
      </c>
      <c r="DQ217" s="1">
        <f>$AF217*Table1[[#This Row],[Total% (20-24)]]</f>
        <v>0</v>
      </c>
      <c r="DR217" s="1">
        <f>$CT217*Table1[[#This Row],[Female% (20-24)]]</f>
        <v>0</v>
      </c>
      <c r="DS217" s="1">
        <f>$CU217*Table1[[#This Row],[Male% (20-24)]]</f>
        <v>0</v>
      </c>
      <c r="DT217" s="1">
        <f>$AF217*Table1[[#This Row],[Total% (25-29)]]</f>
        <v>0</v>
      </c>
      <c r="DU217" s="1">
        <f>$CT217*Table1[[#This Row],[Female% (25-29)]]</f>
        <v>0</v>
      </c>
      <c r="DV217" s="1">
        <f>$CU217*Table1[[#This Row],[Male% (25-29)]]</f>
        <v>0</v>
      </c>
      <c r="DW217" s="1">
        <f>$AF217*Table1[[#This Row],[Total%   (30-34)]]</f>
        <v>0</v>
      </c>
      <c r="DX217" s="1">
        <f>$CT217*Table1[[#This Row],[Female%   (30-34)]]</f>
        <v>0</v>
      </c>
      <c r="DY217" s="1">
        <f>$CU217*Table1[[#This Row],[Male%  (30-34)]]</f>
        <v>0</v>
      </c>
      <c r="DZ217" s="1">
        <f>$AF217*Table1[[#This Row],[Total% (35-39)]]</f>
        <v>0</v>
      </c>
      <c r="EA217" s="1">
        <f>$CT217*Table1[[#This Row],[Female% (35-39)]]</f>
        <v>0</v>
      </c>
      <c r="EB217" s="1">
        <f>$CU217*Table1[[#This Row],[Male% (35-39)]]</f>
        <v>0</v>
      </c>
      <c r="EC217" s="1">
        <f>$AF217*Table1[[#This Row],[Total% (40-44)]]</f>
        <v>0</v>
      </c>
      <c r="ED217" s="1">
        <f>$CT217*Table1[[#This Row],[Female% (40-44)]]</f>
        <v>0</v>
      </c>
      <c r="EE217" s="1">
        <f>$CU217*Table1[[#This Row],[Male%(55-59)]]</f>
        <v>0</v>
      </c>
      <c r="EF217" s="1">
        <f>$AF217*Table1[[#This Row],[Total% (45-49)]]</f>
        <v>0</v>
      </c>
      <c r="EG217" s="1">
        <f>$CT217*Table1[[#This Row],[Female% (45-49)]]</f>
        <v>0</v>
      </c>
      <c r="EH217" s="1">
        <f>$CU217*Table1[[#This Row],[Male% (45-49)]]</f>
        <v>0</v>
      </c>
      <c r="EI217" s="1">
        <f>$AF217*Table1[[#This Row],[Total% (50-54)]]</f>
        <v>0</v>
      </c>
      <c r="EJ217" s="1">
        <f>$CT217*Table1[[#This Row],[Female%(50-54)]]</f>
        <v>0</v>
      </c>
      <c r="EK217" s="1">
        <f>$CU217*Table1[[#This Row],[Male% (50-54)]]</f>
        <v>0</v>
      </c>
      <c r="EL217" s="1">
        <f>$AF217*Table1[[#This Row],[Total% (55-59)]]</f>
        <v>0</v>
      </c>
      <c r="EM217" s="1">
        <f>$CT217*Table1[[#This Row],[Female% (55-59)]]</f>
        <v>0</v>
      </c>
      <c r="EN217" s="1">
        <f>$CU217*Table1[[#This Row],[Male% (55-59)]]</f>
        <v>0</v>
      </c>
      <c r="EO217" s="1">
        <f>$AF217*Table1[[#This Row],[Total% (60-64)]]</f>
        <v>0</v>
      </c>
      <c r="EP217" s="1">
        <f>$CT217*Table1[[#This Row],[Female%(60-64)]]</f>
        <v>0</v>
      </c>
      <c r="EQ217" s="1">
        <f>$CU217*Table1[[#This Row],[Male%(60-64)]]</f>
        <v>0</v>
      </c>
      <c r="ER217" s="1">
        <f>$AF217*Table1[[#This Row],[Total% (&gt;=65)]]</f>
        <v>0</v>
      </c>
      <c r="ES217" s="1">
        <f>$CT217*Table1[[#This Row],[Female%(&gt;=65)]]</f>
        <v>0</v>
      </c>
      <c r="ET217" s="1">
        <f>$CU217*Table1[[#This Row],[Male% (&gt;=65)]]</f>
        <v>0</v>
      </c>
    </row>
    <row r="218" spans="1:150" hidden="1" x14ac:dyDescent="0.35">
      <c r="A218" t="s">
        <v>6</v>
      </c>
      <c r="B218" t="s">
        <v>7</v>
      </c>
      <c r="C218" t="s">
        <v>8</v>
      </c>
      <c r="D218" t="s">
        <v>9</v>
      </c>
      <c r="E218" t="s">
        <v>52</v>
      </c>
      <c r="F218" t="s">
        <v>53</v>
      </c>
      <c r="H218">
        <v>2</v>
      </c>
      <c r="I218" s="1">
        <v>400</v>
      </c>
      <c r="J218" s="1">
        <v>19474</v>
      </c>
      <c r="K218" s="1">
        <v>813</v>
      </c>
      <c r="L218" s="1">
        <v>0</v>
      </c>
      <c r="M218" s="1">
        <v>0</v>
      </c>
      <c r="N218" s="1">
        <v>813</v>
      </c>
      <c r="O218" s="3">
        <v>1</v>
      </c>
      <c r="P218" s="3">
        <v>0</v>
      </c>
      <c r="Q218" s="3">
        <v>0</v>
      </c>
      <c r="R218" s="3">
        <v>0</v>
      </c>
      <c r="S218" s="3">
        <v>0</v>
      </c>
      <c r="T218" s="1">
        <v>20687</v>
      </c>
      <c r="U218" s="1">
        <v>0</v>
      </c>
      <c r="V218" s="10">
        <f>Table1[[#This Row],[Pop NW+RATAA]]*Table1[[#This Row],[Perc_pop_Northern_Aleppo]]</f>
        <v>0</v>
      </c>
      <c r="W218" s="10">
        <f>Table1[[#This Row],[Pop NW+RATAA]]*Table1[[#This Row],[Perc_pop_Afrin District]]</f>
        <v>0</v>
      </c>
      <c r="X218" s="10">
        <f>Table1[[#This Row],[Pop NW+RATAA]]*Table1[[#This Row],[Perc_pop_Euphrates Shiled]]</f>
        <v>0</v>
      </c>
      <c r="Y218" s="10">
        <f>Table1[[#This Row],[Pop NW+RATAA]]*Table1[[#This Row],[Perc_Pop_Idleb_NSAG]]</f>
        <v>0</v>
      </c>
      <c r="Z218" s="3">
        <v>0</v>
      </c>
      <c r="AA218" s="3">
        <v>0</v>
      </c>
      <c r="AB218" s="3">
        <v>0</v>
      </c>
      <c r="AC218" s="3">
        <v>0</v>
      </c>
      <c r="AD218" s="1">
        <v>813</v>
      </c>
      <c r="AE218" s="1">
        <v>0</v>
      </c>
      <c r="AF218" s="1">
        <v>0</v>
      </c>
      <c r="AG218" s="1">
        <v>0</v>
      </c>
      <c r="AH218" s="1">
        <v>0</v>
      </c>
      <c r="AI218" s="1">
        <f>Table1[[#This Row],[NWS_pin]]*Table1[[#This Row],[Perc_pop_Northern_Aleppo]]</f>
        <v>0</v>
      </c>
      <c r="AJ218" s="1">
        <f>Table1[[#This Row],[NWS_pin]]*Table1[[#This Row],[Perc_pop_Afrin District]]</f>
        <v>0</v>
      </c>
      <c r="AK218" s="1">
        <f>Table1[[#This Row],[NWS_pin]]*Table1[[#This Row],[Perc_pop_Euphrates Shiled]]</f>
        <v>0</v>
      </c>
      <c r="AL218" s="1">
        <f>Table1[[#This Row],[NWS_pin]]*Table1[[#This Row],[Perc_Pop_Idleb_NSAG]]</f>
        <v>0</v>
      </c>
      <c r="AM218" s="4">
        <v>0.518907418350951</v>
      </c>
      <c r="AN218" s="4">
        <v>0.481092581649049</v>
      </c>
      <c r="AO218" s="4">
        <v>0.22607936895745401</v>
      </c>
      <c r="AP218" s="4">
        <v>0.43010694035439401</v>
      </c>
      <c r="AQ218" s="4">
        <v>0.51619603713984896</v>
      </c>
      <c r="AR218" s="4">
        <v>3.30787335514277E-3</v>
      </c>
      <c r="AS218" s="4">
        <v>0</v>
      </c>
      <c r="AT218" s="4">
        <v>5.0389149150614598E-2</v>
      </c>
      <c r="AU218" s="4">
        <v>3.5492865140936899E-2</v>
      </c>
      <c r="AV218" s="4">
        <v>2.1149489383457402E-2</v>
      </c>
      <c r="AW218" s="4">
        <v>5.0963658848125697E-2</v>
      </c>
      <c r="AX218" s="4">
        <v>3.0295685488765399E-2</v>
      </c>
      <c r="AY218" s="4">
        <v>2.00781236240491E-2</v>
      </c>
      <c r="AZ218" s="4">
        <v>4.13163681001818E-2</v>
      </c>
      <c r="BA218" s="4">
        <v>2.4929432736902801E-2</v>
      </c>
      <c r="BB218" s="4">
        <v>1.0862120758474401E-2</v>
      </c>
      <c r="BC218" s="4">
        <v>4.01024635012572E-2</v>
      </c>
      <c r="BD218" s="4">
        <v>3.6088321676278401E-2</v>
      </c>
      <c r="BE218" s="4">
        <v>3.6475923541346301E-2</v>
      </c>
      <c r="BF218" s="4">
        <v>3.5670253531346702E-2</v>
      </c>
      <c r="BG218" s="4">
        <v>4.49970001914059E-2</v>
      </c>
      <c r="BH218" s="4">
        <v>3.54343248324425E-2</v>
      </c>
      <c r="BI218" s="4">
        <v>5.5311320911212401E-2</v>
      </c>
      <c r="BJ218" s="4">
        <v>6.2953438671387904E-2</v>
      </c>
      <c r="BK218" s="4">
        <v>7.8224707991435993E-2</v>
      </c>
      <c r="BL218" s="4">
        <v>4.6481817116456201E-2</v>
      </c>
      <c r="BM218" s="4">
        <v>4.85299650693818E-2</v>
      </c>
      <c r="BN218" s="4">
        <v>7.3993941909104799E-2</v>
      </c>
      <c r="BO218" s="4">
        <v>2.1064468849179899E-2</v>
      </c>
      <c r="BP218" s="4">
        <v>9.3494527939796304E-2</v>
      </c>
      <c r="BQ218" s="4">
        <v>0.11804123877565099</v>
      </c>
      <c r="BR218" s="4">
        <v>6.7018396661320895E-2</v>
      </c>
      <c r="BS218" s="4">
        <v>0.17007923587969301</v>
      </c>
      <c r="BT218" s="4">
        <v>0.14350670242350899</v>
      </c>
      <c r="BU218" s="4">
        <v>0.19874042347799101</v>
      </c>
      <c r="BV218" s="4">
        <v>7.0929801647069302E-2</v>
      </c>
      <c r="BW218" s="4">
        <v>6.6388088417070099E-2</v>
      </c>
      <c r="BX218" s="4">
        <v>7.5828502597707695E-2</v>
      </c>
      <c r="BY218" s="4">
        <v>4.3211016743964901E-2</v>
      </c>
      <c r="BZ218" s="4">
        <v>4.43175568792522E-2</v>
      </c>
      <c r="CA218" s="4">
        <v>4.2017500346485902E-2</v>
      </c>
      <c r="CB218" s="4">
        <v>5.8398698182184197E-2</v>
      </c>
      <c r="CC218" s="4">
        <v>5.9712827341432802E-2</v>
      </c>
      <c r="CD218" s="4">
        <v>5.6981275849318502E-2</v>
      </c>
      <c r="CE218" s="4">
        <v>5.7659140135533901E-2</v>
      </c>
      <c r="CF218" s="4">
        <v>6.6660829017317694E-2</v>
      </c>
      <c r="CG218" s="4">
        <v>4.7949900549186797E-2</v>
      </c>
      <c r="CH218" s="4">
        <v>7.1000919186147607E-2</v>
      </c>
      <c r="CI218" s="4">
        <v>7.8572858452961705E-2</v>
      </c>
      <c r="CJ218" s="4">
        <v>6.28338103868709E-2</v>
      </c>
      <c r="CK218" s="4">
        <v>8.3239893682818894E-2</v>
      </c>
      <c r="CL218" s="4">
        <v>6.10251821805506E-2</v>
      </c>
      <c r="CM218" s="4">
        <v>0.10720072582772699</v>
      </c>
      <c r="CN218" s="4">
        <v>3.48947054955129E-2</v>
      </c>
      <c r="CO218" s="4">
        <v>4.3019217359747002E-2</v>
      </c>
      <c r="CP218" s="4">
        <v>2.61315907902714E-2</v>
      </c>
      <c r="CQ218" s="4">
        <v>3.3805352132219697E-2</v>
      </c>
      <c r="CR218" s="4">
        <v>4.2536867112196702E-2</v>
      </c>
      <c r="CS218" s="4">
        <v>2.4387522655360799E-2</v>
      </c>
      <c r="CT218" s="1">
        <f>Table1[[#This Row],[Female %]]*Table1[[#This Row],[NWS_pin]]</f>
        <v>0</v>
      </c>
      <c r="CU218" s="1">
        <f>Table1[[#This Row],[Male %]]*Table1[[#This Row],[NWS_pin]]</f>
        <v>0</v>
      </c>
      <c r="CV218" s="1">
        <f>Table1[[#This Row],[Female% (0-2)22]]+Table1[[#This Row],[Male%(0-2)3]]</f>
        <v>0</v>
      </c>
      <c r="CW218" s="1">
        <f>$CT218*Table1[[#This Row],[Female% (0-2)]]</f>
        <v>0</v>
      </c>
      <c r="CX218" s="1">
        <f>$CU218*Table1[[#This Row],[Male%(0-2)]]</f>
        <v>0</v>
      </c>
      <c r="CY218" s="1">
        <f>Table1[[#This Row],[Female%  (3-5)5]]+Table1[[#This Row],[Male% (3-5)6]]</f>
        <v>0</v>
      </c>
      <c r="CZ218" s="1">
        <f>$AF218*Table1[[#This Row],[Female%  (3-5)]]</f>
        <v>0</v>
      </c>
      <c r="DA218" s="1">
        <f>$CU218*Table1[[#This Row],[Male% (3-5)]]</f>
        <v>0</v>
      </c>
      <c r="DB218" s="1">
        <f>Table1[[#This Row],[Female% (6-8)8]]+Table1[[#This Row],[Male%(6-8)9]]</f>
        <v>0</v>
      </c>
      <c r="DC218" s="1">
        <f>$CT218*Table1[[#This Row],[Female% (6-8)]]</f>
        <v>0</v>
      </c>
      <c r="DD218" s="1">
        <f>$CU218*Table1[[#This Row],[Male%(6-8)]]</f>
        <v>0</v>
      </c>
      <c r="DE218" s="1">
        <f>Table1[[#This Row],[Female% (9 - 11)11]]+Table1[[#This Row],[Male% (9 - 11)12]]</f>
        <v>0</v>
      </c>
      <c r="DF218" s="1">
        <f>$CT218*Table1[[#This Row],[Female% (9 - 11)]]</f>
        <v>0</v>
      </c>
      <c r="DG218" s="1">
        <f>$CU218*Table1[[#This Row],[Male% (9 - 11)]]</f>
        <v>0</v>
      </c>
      <c r="DH218" s="1">
        <f>Table1[[#This Row],[Female% (12-14)14]]+Table1[[#This Row],[Male%(12-14)15]]</f>
        <v>0</v>
      </c>
      <c r="DI218" s="1">
        <f>$CT218*Table1[[#This Row],[Female% (12-14)]]</f>
        <v>0</v>
      </c>
      <c r="DJ218" s="1">
        <f>$CU218*Table1[[#This Row],[Male%(12-14)]]</f>
        <v>0</v>
      </c>
      <c r="DK218" s="1">
        <f>Table1[[#This Row],[Female% (15-17)17]]+Table1[[#This Row],[Male%(15-17)18]]</f>
        <v>0</v>
      </c>
      <c r="DL218" s="1">
        <f>$CT218*Table1[[#This Row],[Female% (15-17)]]</f>
        <v>0</v>
      </c>
      <c r="DM218" s="1">
        <f>$CU218*Table1[[#This Row],[Male%(15-17)]]</f>
        <v>0</v>
      </c>
      <c r="DN218" s="1">
        <f>$AF218*Table1[[#This Row],[Total% (18-19)]]</f>
        <v>0</v>
      </c>
      <c r="DO218" s="1">
        <f>$CT218*Table1[[#This Row],[Female% (18-19)]]</f>
        <v>0</v>
      </c>
      <c r="DP218" s="1">
        <f>$CU218*Table1[[#This Row],[Male%(18-19)]]</f>
        <v>0</v>
      </c>
      <c r="DQ218" s="1">
        <f>$AF218*Table1[[#This Row],[Total% (20-24)]]</f>
        <v>0</v>
      </c>
      <c r="DR218" s="1">
        <f>$CT218*Table1[[#This Row],[Female% (20-24)]]</f>
        <v>0</v>
      </c>
      <c r="DS218" s="1">
        <f>$CU218*Table1[[#This Row],[Male% (20-24)]]</f>
        <v>0</v>
      </c>
      <c r="DT218" s="1">
        <f>$AF218*Table1[[#This Row],[Total% (25-29)]]</f>
        <v>0</v>
      </c>
      <c r="DU218" s="1">
        <f>$CT218*Table1[[#This Row],[Female% (25-29)]]</f>
        <v>0</v>
      </c>
      <c r="DV218" s="1">
        <f>$CU218*Table1[[#This Row],[Male% (25-29)]]</f>
        <v>0</v>
      </c>
      <c r="DW218" s="1">
        <f>$AF218*Table1[[#This Row],[Total%   (30-34)]]</f>
        <v>0</v>
      </c>
      <c r="DX218" s="1">
        <f>$CT218*Table1[[#This Row],[Female%   (30-34)]]</f>
        <v>0</v>
      </c>
      <c r="DY218" s="1">
        <f>$CU218*Table1[[#This Row],[Male%  (30-34)]]</f>
        <v>0</v>
      </c>
      <c r="DZ218" s="1">
        <f>$AF218*Table1[[#This Row],[Total% (35-39)]]</f>
        <v>0</v>
      </c>
      <c r="EA218" s="1">
        <f>$CT218*Table1[[#This Row],[Female% (35-39)]]</f>
        <v>0</v>
      </c>
      <c r="EB218" s="1">
        <f>$CU218*Table1[[#This Row],[Male% (35-39)]]</f>
        <v>0</v>
      </c>
      <c r="EC218" s="1">
        <f>$AF218*Table1[[#This Row],[Total% (40-44)]]</f>
        <v>0</v>
      </c>
      <c r="ED218" s="1">
        <f>$CT218*Table1[[#This Row],[Female% (40-44)]]</f>
        <v>0</v>
      </c>
      <c r="EE218" s="1">
        <f>$CU218*Table1[[#This Row],[Male%(55-59)]]</f>
        <v>0</v>
      </c>
      <c r="EF218" s="1">
        <f>$AF218*Table1[[#This Row],[Total% (45-49)]]</f>
        <v>0</v>
      </c>
      <c r="EG218" s="1">
        <f>$CT218*Table1[[#This Row],[Female% (45-49)]]</f>
        <v>0</v>
      </c>
      <c r="EH218" s="1">
        <f>$CU218*Table1[[#This Row],[Male% (45-49)]]</f>
        <v>0</v>
      </c>
      <c r="EI218" s="1">
        <f>$AF218*Table1[[#This Row],[Total% (50-54)]]</f>
        <v>0</v>
      </c>
      <c r="EJ218" s="1">
        <f>$CT218*Table1[[#This Row],[Female%(50-54)]]</f>
        <v>0</v>
      </c>
      <c r="EK218" s="1">
        <f>$CU218*Table1[[#This Row],[Male% (50-54)]]</f>
        <v>0</v>
      </c>
      <c r="EL218" s="1">
        <f>$AF218*Table1[[#This Row],[Total% (55-59)]]</f>
        <v>0</v>
      </c>
      <c r="EM218" s="1">
        <f>$CT218*Table1[[#This Row],[Female% (55-59)]]</f>
        <v>0</v>
      </c>
      <c r="EN218" s="1">
        <f>$CU218*Table1[[#This Row],[Male% (55-59)]]</f>
        <v>0</v>
      </c>
      <c r="EO218" s="1">
        <f>$AF218*Table1[[#This Row],[Total% (60-64)]]</f>
        <v>0</v>
      </c>
      <c r="EP218" s="1">
        <f>$CT218*Table1[[#This Row],[Female%(60-64)]]</f>
        <v>0</v>
      </c>
      <c r="EQ218" s="1">
        <f>$CU218*Table1[[#This Row],[Male%(60-64)]]</f>
        <v>0</v>
      </c>
      <c r="ER218" s="1">
        <f>$AF218*Table1[[#This Row],[Total% (&gt;=65)]]</f>
        <v>0</v>
      </c>
      <c r="ES218" s="1">
        <f>$CT218*Table1[[#This Row],[Female%(&gt;=65)]]</f>
        <v>0</v>
      </c>
      <c r="ET218" s="1">
        <f>$CU218*Table1[[#This Row],[Male% (&gt;=65)]]</f>
        <v>0</v>
      </c>
    </row>
    <row r="219" spans="1:150" hidden="1" x14ac:dyDescent="0.35">
      <c r="A219" t="s">
        <v>6</v>
      </c>
      <c r="B219" t="s">
        <v>7</v>
      </c>
      <c r="C219" t="s">
        <v>22</v>
      </c>
      <c r="D219" t="s">
        <v>23</v>
      </c>
      <c r="E219" t="s">
        <v>22</v>
      </c>
      <c r="F219" t="s">
        <v>117</v>
      </c>
      <c r="H219">
        <v>2</v>
      </c>
      <c r="I219" s="1">
        <v>0</v>
      </c>
      <c r="J219" s="1">
        <v>38240</v>
      </c>
      <c r="K219" s="1">
        <v>10769</v>
      </c>
      <c r="L219" s="1">
        <v>0</v>
      </c>
      <c r="M219" s="1">
        <v>0</v>
      </c>
      <c r="N219" s="1">
        <v>10769</v>
      </c>
      <c r="O219" s="3">
        <v>1</v>
      </c>
      <c r="P219" s="3">
        <v>0</v>
      </c>
      <c r="Q219" s="3">
        <v>0</v>
      </c>
      <c r="R219" s="3">
        <v>0</v>
      </c>
      <c r="S219" s="3">
        <v>0</v>
      </c>
      <c r="T219" s="1">
        <v>49009</v>
      </c>
      <c r="U219" s="1">
        <v>0</v>
      </c>
      <c r="V219" s="10">
        <f>Table1[[#This Row],[Pop NW+RATAA]]*Table1[[#This Row],[Perc_pop_Northern_Aleppo]]</f>
        <v>0</v>
      </c>
      <c r="W219" s="10">
        <f>Table1[[#This Row],[Pop NW+RATAA]]*Table1[[#This Row],[Perc_pop_Afrin District]]</f>
        <v>0</v>
      </c>
      <c r="X219" s="10">
        <f>Table1[[#This Row],[Pop NW+RATAA]]*Table1[[#This Row],[Perc_pop_Euphrates Shiled]]</f>
        <v>0</v>
      </c>
      <c r="Y219" s="10">
        <f>Table1[[#This Row],[Pop NW+RATAA]]*Table1[[#This Row],[Perc_Pop_Idleb_NSAG]]</f>
        <v>0</v>
      </c>
      <c r="Z219" s="3">
        <v>0</v>
      </c>
      <c r="AA219" s="3">
        <v>0</v>
      </c>
      <c r="AB219" s="3">
        <v>0</v>
      </c>
      <c r="AC219" s="3">
        <v>0</v>
      </c>
      <c r="AD219" s="1">
        <v>10769</v>
      </c>
      <c r="AE219" s="1">
        <v>0</v>
      </c>
      <c r="AF219" s="1">
        <v>0</v>
      </c>
      <c r="AG219" s="1">
        <v>0</v>
      </c>
      <c r="AH219" s="1">
        <v>0</v>
      </c>
      <c r="AI219" s="1">
        <f>Table1[[#This Row],[NWS_pin]]*Table1[[#This Row],[Perc_pop_Northern_Aleppo]]</f>
        <v>0</v>
      </c>
      <c r="AJ219" s="1">
        <f>Table1[[#This Row],[NWS_pin]]*Table1[[#This Row],[Perc_pop_Afrin District]]</f>
        <v>0</v>
      </c>
      <c r="AK219" s="1">
        <f>Table1[[#This Row],[NWS_pin]]*Table1[[#This Row],[Perc_pop_Euphrates Shiled]]</f>
        <v>0</v>
      </c>
      <c r="AL219" s="1">
        <f>Table1[[#This Row],[NWS_pin]]*Table1[[#This Row],[Perc_Pop_Idleb_NSAG]]</f>
        <v>0</v>
      </c>
      <c r="AM219" s="4">
        <v>0.52091411642179197</v>
      </c>
      <c r="AN219" s="4">
        <v>0.47908588357820803</v>
      </c>
      <c r="AO219" s="4">
        <v>0.12770882483673501</v>
      </c>
      <c r="AP219" s="4">
        <v>0.429173484238978</v>
      </c>
      <c r="AQ219" s="4">
        <v>0.54176151002070105</v>
      </c>
      <c r="AR219" s="4">
        <v>0</v>
      </c>
      <c r="AS219" s="4">
        <v>0</v>
      </c>
      <c r="AT219" s="4">
        <v>2.9065005740320601E-2</v>
      </c>
      <c r="AU219" s="4">
        <v>5.6847267741878503E-2</v>
      </c>
      <c r="AV219" s="4">
        <v>7.2108426675176002E-2</v>
      </c>
      <c r="AW219" s="4">
        <v>4.02536810932052E-2</v>
      </c>
      <c r="AX219" s="4">
        <v>6.8919129631482001E-2</v>
      </c>
      <c r="AY219" s="4">
        <v>4.3942793322593099E-2</v>
      </c>
      <c r="AZ219" s="4">
        <v>9.6076110468874001E-2</v>
      </c>
      <c r="BA219" s="4">
        <v>8.5535683814746605E-2</v>
      </c>
      <c r="BB219" s="4">
        <v>8.5032030148014998E-2</v>
      </c>
      <c r="BC219" s="4">
        <v>8.6083310688718703E-2</v>
      </c>
      <c r="BD219" s="4">
        <v>5.3343316603020899E-2</v>
      </c>
      <c r="BE219" s="4">
        <v>4.90244112510042E-2</v>
      </c>
      <c r="BF219" s="4">
        <v>5.8039298769207603E-2</v>
      </c>
      <c r="BG219" s="4">
        <v>4.8561055833740298E-2</v>
      </c>
      <c r="BH219" s="4">
        <v>6.7820326189323099E-2</v>
      </c>
      <c r="BI219" s="4">
        <v>2.76202889606352E-2</v>
      </c>
      <c r="BJ219" s="4">
        <v>5.9575995433977999E-2</v>
      </c>
      <c r="BK219" s="4">
        <v>4.1148538840702097E-2</v>
      </c>
      <c r="BL219" s="4">
        <v>7.9612324197190901E-2</v>
      </c>
      <c r="BM219" s="4">
        <v>2.2719783937723202E-2</v>
      </c>
      <c r="BN219" s="4">
        <v>2.4392895618569398E-2</v>
      </c>
      <c r="BO219" s="4">
        <v>2.0900595514984601E-2</v>
      </c>
      <c r="BP219" s="4">
        <v>5.64317067860736E-2</v>
      </c>
      <c r="BQ219" s="4">
        <v>6.8976715487286094E-2</v>
      </c>
      <c r="BR219" s="4">
        <v>4.2791413162124703E-2</v>
      </c>
      <c r="BS219" s="4">
        <v>9.4754517478567293E-2</v>
      </c>
      <c r="BT219" s="4">
        <v>0.12885763139279299</v>
      </c>
      <c r="BU219" s="4">
        <v>5.7673914478582798E-2</v>
      </c>
      <c r="BV219" s="4">
        <v>7.4956899341574901E-2</v>
      </c>
      <c r="BW219" s="4">
        <v>8.0375409995778205E-2</v>
      </c>
      <c r="BX219" s="4">
        <v>6.90653070686508E-2</v>
      </c>
      <c r="BY219" s="4">
        <v>9.6516790133626795E-2</v>
      </c>
      <c r="BZ219" s="4">
        <v>9.1562311592555595E-2</v>
      </c>
      <c r="CA219" s="4">
        <v>0.101903836381529</v>
      </c>
      <c r="CB219" s="4">
        <v>6.6757477155180003E-2</v>
      </c>
      <c r="CC219" s="4">
        <v>6.7947401936352E-2</v>
      </c>
      <c r="CD219" s="4">
        <v>6.5463661918206101E-2</v>
      </c>
      <c r="CE219" s="4">
        <v>6.3587445793199193E-2</v>
      </c>
      <c r="CF219" s="4">
        <v>5.05888548922045E-2</v>
      </c>
      <c r="CG219" s="4">
        <v>7.7720923163368205E-2</v>
      </c>
      <c r="CH219" s="4">
        <v>4.8274943954433901E-2</v>
      </c>
      <c r="CI219" s="4">
        <v>3.8732687694408199E-2</v>
      </c>
      <c r="CJ219" s="4">
        <v>5.8650319557731499E-2</v>
      </c>
      <c r="CK219" s="4">
        <v>4.1381780630887703E-2</v>
      </c>
      <c r="CL219" s="4">
        <v>4.5735973308445303E-2</v>
      </c>
      <c r="CM219" s="4">
        <v>3.6647430258424901E-2</v>
      </c>
      <c r="CN219" s="4">
        <v>2.81264893998859E-2</v>
      </c>
      <c r="CO219" s="4">
        <v>2.7533078522927901E-3</v>
      </c>
      <c r="CP219" s="4">
        <v>5.5714963407837999E-2</v>
      </c>
      <c r="CQ219" s="4">
        <v>3.3709716330000999E-2</v>
      </c>
      <c r="CR219" s="4">
        <v>4.1000283802501702E-2</v>
      </c>
      <c r="CS219" s="4">
        <v>2.5782620910727999E-2</v>
      </c>
      <c r="CT219" s="1">
        <f>Table1[[#This Row],[Female %]]*Table1[[#This Row],[NWS_pin]]</f>
        <v>0</v>
      </c>
      <c r="CU219" s="1">
        <f>Table1[[#This Row],[Male %]]*Table1[[#This Row],[NWS_pin]]</f>
        <v>0</v>
      </c>
      <c r="CV219" s="1">
        <f>Table1[[#This Row],[Female% (0-2)22]]+Table1[[#This Row],[Male%(0-2)3]]</f>
        <v>0</v>
      </c>
      <c r="CW219" s="1">
        <f>$CT219*Table1[[#This Row],[Female% (0-2)]]</f>
        <v>0</v>
      </c>
      <c r="CX219" s="1">
        <f>$CU219*Table1[[#This Row],[Male%(0-2)]]</f>
        <v>0</v>
      </c>
      <c r="CY219" s="1">
        <f>Table1[[#This Row],[Female%  (3-5)5]]+Table1[[#This Row],[Male% (3-5)6]]</f>
        <v>0</v>
      </c>
      <c r="CZ219" s="1">
        <f>$AF219*Table1[[#This Row],[Female%  (3-5)]]</f>
        <v>0</v>
      </c>
      <c r="DA219" s="1">
        <f>$CU219*Table1[[#This Row],[Male% (3-5)]]</f>
        <v>0</v>
      </c>
      <c r="DB219" s="1">
        <f>Table1[[#This Row],[Female% (6-8)8]]+Table1[[#This Row],[Male%(6-8)9]]</f>
        <v>0</v>
      </c>
      <c r="DC219" s="1">
        <f>$CT219*Table1[[#This Row],[Female% (6-8)]]</f>
        <v>0</v>
      </c>
      <c r="DD219" s="1">
        <f>$CU219*Table1[[#This Row],[Male%(6-8)]]</f>
        <v>0</v>
      </c>
      <c r="DE219" s="1">
        <f>Table1[[#This Row],[Female% (9 - 11)11]]+Table1[[#This Row],[Male% (9 - 11)12]]</f>
        <v>0</v>
      </c>
      <c r="DF219" s="1">
        <f>$CT219*Table1[[#This Row],[Female% (9 - 11)]]</f>
        <v>0</v>
      </c>
      <c r="DG219" s="1">
        <f>$CU219*Table1[[#This Row],[Male% (9 - 11)]]</f>
        <v>0</v>
      </c>
      <c r="DH219" s="1">
        <f>Table1[[#This Row],[Female% (12-14)14]]+Table1[[#This Row],[Male%(12-14)15]]</f>
        <v>0</v>
      </c>
      <c r="DI219" s="1">
        <f>$CT219*Table1[[#This Row],[Female% (12-14)]]</f>
        <v>0</v>
      </c>
      <c r="DJ219" s="1">
        <f>$CU219*Table1[[#This Row],[Male%(12-14)]]</f>
        <v>0</v>
      </c>
      <c r="DK219" s="1">
        <f>Table1[[#This Row],[Female% (15-17)17]]+Table1[[#This Row],[Male%(15-17)18]]</f>
        <v>0</v>
      </c>
      <c r="DL219" s="1">
        <f>$CT219*Table1[[#This Row],[Female% (15-17)]]</f>
        <v>0</v>
      </c>
      <c r="DM219" s="1">
        <f>$CU219*Table1[[#This Row],[Male%(15-17)]]</f>
        <v>0</v>
      </c>
      <c r="DN219" s="1">
        <f>$AF219*Table1[[#This Row],[Total% (18-19)]]</f>
        <v>0</v>
      </c>
      <c r="DO219" s="1">
        <f>$CT219*Table1[[#This Row],[Female% (18-19)]]</f>
        <v>0</v>
      </c>
      <c r="DP219" s="1">
        <f>$CU219*Table1[[#This Row],[Male%(18-19)]]</f>
        <v>0</v>
      </c>
      <c r="DQ219" s="1">
        <f>$AF219*Table1[[#This Row],[Total% (20-24)]]</f>
        <v>0</v>
      </c>
      <c r="DR219" s="1">
        <f>$CT219*Table1[[#This Row],[Female% (20-24)]]</f>
        <v>0</v>
      </c>
      <c r="DS219" s="1">
        <f>$CU219*Table1[[#This Row],[Male% (20-24)]]</f>
        <v>0</v>
      </c>
      <c r="DT219" s="1">
        <f>$AF219*Table1[[#This Row],[Total% (25-29)]]</f>
        <v>0</v>
      </c>
      <c r="DU219" s="1">
        <f>$CT219*Table1[[#This Row],[Female% (25-29)]]</f>
        <v>0</v>
      </c>
      <c r="DV219" s="1">
        <f>$CU219*Table1[[#This Row],[Male% (25-29)]]</f>
        <v>0</v>
      </c>
      <c r="DW219" s="1">
        <f>$AF219*Table1[[#This Row],[Total%   (30-34)]]</f>
        <v>0</v>
      </c>
      <c r="DX219" s="1">
        <f>$CT219*Table1[[#This Row],[Female%   (30-34)]]</f>
        <v>0</v>
      </c>
      <c r="DY219" s="1">
        <f>$CU219*Table1[[#This Row],[Male%  (30-34)]]</f>
        <v>0</v>
      </c>
      <c r="DZ219" s="1">
        <f>$AF219*Table1[[#This Row],[Total% (35-39)]]</f>
        <v>0</v>
      </c>
      <c r="EA219" s="1">
        <f>$CT219*Table1[[#This Row],[Female% (35-39)]]</f>
        <v>0</v>
      </c>
      <c r="EB219" s="1">
        <f>$CU219*Table1[[#This Row],[Male% (35-39)]]</f>
        <v>0</v>
      </c>
      <c r="EC219" s="1">
        <f>$AF219*Table1[[#This Row],[Total% (40-44)]]</f>
        <v>0</v>
      </c>
      <c r="ED219" s="1">
        <f>$CT219*Table1[[#This Row],[Female% (40-44)]]</f>
        <v>0</v>
      </c>
      <c r="EE219" s="1">
        <f>$CU219*Table1[[#This Row],[Male%(55-59)]]</f>
        <v>0</v>
      </c>
      <c r="EF219" s="1">
        <f>$AF219*Table1[[#This Row],[Total% (45-49)]]</f>
        <v>0</v>
      </c>
      <c r="EG219" s="1">
        <f>$CT219*Table1[[#This Row],[Female% (45-49)]]</f>
        <v>0</v>
      </c>
      <c r="EH219" s="1">
        <f>$CU219*Table1[[#This Row],[Male% (45-49)]]</f>
        <v>0</v>
      </c>
      <c r="EI219" s="1">
        <f>$AF219*Table1[[#This Row],[Total% (50-54)]]</f>
        <v>0</v>
      </c>
      <c r="EJ219" s="1">
        <f>$CT219*Table1[[#This Row],[Female%(50-54)]]</f>
        <v>0</v>
      </c>
      <c r="EK219" s="1">
        <f>$CU219*Table1[[#This Row],[Male% (50-54)]]</f>
        <v>0</v>
      </c>
      <c r="EL219" s="1">
        <f>$AF219*Table1[[#This Row],[Total% (55-59)]]</f>
        <v>0</v>
      </c>
      <c r="EM219" s="1">
        <f>$CT219*Table1[[#This Row],[Female% (55-59)]]</f>
        <v>0</v>
      </c>
      <c r="EN219" s="1">
        <f>$CU219*Table1[[#This Row],[Male% (55-59)]]</f>
        <v>0</v>
      </c>
      <c r="EO219" s="1">
        <f>$AF219*Table1[[#This Row],[Total% (60-64)]]</f>
        <v>0</v>
      </c>
      <c r="EP219" s="1">
        <f>$CT219*Table1[[#This Row],[Female%(60-64)]]</f>
        <v>0</v>
      </c>
      <c r="EQ219" s="1">
        <f>$CU219*Table1[[#This Row],[Male%(60-64)]]</f>
        <v>0</v>
      </c>
      <c r="ER219" s="1">
        <f>$AF219*Table1[[#This Row],[Total% (&gt;=65)]]</f>
        <v>0</v>
      </c>
      <c r="ES219" s="1">
        <f>$CT219*Table1[[#This Row],[Female%(&gt;=65)]]</f>
        <v>0</v>
      </c>
      <c r="ET219" s="1">
        <f>$CU219*Table1[[#This Row],[Male% (&gt;=65)]]</f>
        <v>0</v>
      </c>
    </row>
    <row r="220" spans="1:150" hidden="1" x14ac:dyDescent="0.35">
      <c r="A220" t="s">
        <v>6</v>
      </c>
      <c r="B220" t="s">
        <v>7</v>
      </c>
      <c r="C220" t="s">
        <v>22</v>
      </c>
      <c r="D220" t="s">
        <v>23</v>
      </c>
      <c r="E220" t="s">
        <v>540</v>
      </c>
      <c r="F220" t="s">
        <v>541</v>
      </c>
      <c r="H220">
        <v>2</v>
      </c>
      <c r="I220" s="1">
        <v>0</v>
      </c>
      <c r="J220" s="1">
        <v>10334</v>
      </c>
      <c r="K220" s="1">
        <v>316</v>
      </c>
      <c r="L220" s="1">
        <v>0</v>
      </c>
      <c r="M220" s="1">
        <v>0</v>
      </c>
      <c r="N220" s="1">
        <v>316</v>
      </c>
      <c r="O220" s="3">
        <v>1</v>
      </c>
      <c r="P220" s="3">
        <v>0</v>
      </c>
      <c r="Q220" s="3">
        <v>0</v>
      </c>
      <c r="R220" s="3">
        <v>0</v>
      </c>
      <c r="S220" s="3">
        <v>0</v>
      </c>
      <c r="T220" s="1">
        <v>10650</v>
      </c>
      <c r="U220" s="1">
        <v>0</v>
      </c>
      <c r="V220" s="10">
        <f>Table1[[#This Row],[Pop NW+RATAA]]*Table1[[#This Row],[Perc_pop_Northern_Aleppo]]</f>
        <v>0</v>
      </c>
      <c r="W220" s="10">
        <f>Table1[[#This Row],[Pop NW+RATAA]]*Table1[[#This Row],[Perc_pop_Afrin District]]</f>
        <v>0</v>
      </c>
      <c r="X220" s="10">
        <f>Table1[[#This Row],[Pop NW+RATAA]]*Table1[[#This Row],[Perc_pop_Euphrates Shiled]]</f>
        <v>0</v>
      </c>
      <c r="Y220" s="10">
        <f>Table1[[#This Row],[Pop NW+RATAA]]*Table1[[#This Row],[Perc_Pop_Idleb_NSAG]]</f>
        <v>0</v>
      </c>
      <c r="Z220" s="3">
        <v>0</v>
      </c>
      <c r="AA220" s="3">
        <v>0</v>
      </c>
      <c r="AB220" s="3">
        <v>0</v>
      </c>
      <c r="AC220" s="3">
        <v>0</v>
      </c>
      <c r="AD220" s="1">
        <v>316</v>
      </c>
      <c r="AE220" s="1">
        <v>0</v>
      </c>
      <c r="AF220" s="1">
        <v>0</v>
      </c>
      <c r="AG220" s="1">
        <v>0</v>
      </c>
      <c r="AH220" s="1">
        <v>0</v>
      </c>
      <c r="AI220" s="1">
        <f>Table1[[#This Row],[NWS_pin]]*Table1[[#This Row],[Perc_pop_Northern_Aleppo]]</f>
        <v>0</v>
      </c>
      <c r="AJ220" s="1">
        <f>Table1[[#This Row],[NWS_pin]]*Table1[[#This Row],[Perc_pop_Afrin District]]</f>
        <v>0</v>
      </c>
      <c r="AK220" s="1">
        <f>Table1[[#This Row],[NWS_pin]]*Table1[[#This Row],[Perc_pop_Euphrates Shiled]]</f>
        <v>0</v>
      </c>
      <c r="AL220" s="1">
        <f>Table1[[#This Row],[NWS_pin]]*Table1[[#This Row],[Perc_Pop_Idleb_NSAG]]</f>
        <v>0</v>
      </c>
      <c r="AM220" s="4">
        <v>0.50383910147962596</v>
      </c>
      <c r="AN220" s="4">
        <v>0.49616089852037398</v>
      </c>
      <c r="AO220" s="4">
        <v>0.11278554381179701</v>
      </c>
      <c r="AP220" s="4">
        <v>0.45055436672205901</v>
      </c>
      <c r="AQ220" s="4">
        <v>0.50082172338420605</v>
      </c>
      <c r="AR220" s="4">
        <v>3.22687720758036E-3</v>
      </c>
      <c r="AS220" s="4">
        <v>0</v>
      </c>
      <c r="AT220" s="4">
        <v>4.5397032686154699E-2</v>
      </c>
      <c r="AU220" s="4">
        <v>2.5375190999115699E-2</v>
      </c>
      <c r="AV220" s="4">
        <v>2.4756491322548001E-2</v>
      </c>
      <c r="AW220" s="4">
        <v>2.6003465194154501E-2</v>
      </c>
      <c r="AX220" s="4">
        <v>4.1999399784094102E-2</v>
      </c>
      <c r="AY220" s="4">
        <v>4.1579869193449102E-2</v>
      </c>
      <c r="AZ220" s="4">
        <v>4.2425422706223098E-2</v>
      </c>
      <c r="BA220" s="4">
        <v>6.3437973630057307E-2</v>
      </c>
      <c r="BB220" s="4">
        <v>4.1832870082106302E-2</v>
      </c>
      <c r="BC220" s="4">
        <v>8.5377421078326896E-2</v>
      </c>
      <c r="BD220" s="4">
        <v>6.5891092245172297E-2</v>
      </c>
      <c r="BE220" s="4">
        <v>6.1494530604830303E-2</v>
      </c>
      <c r="BF220" s="4">
        <v>7.0355691678694099E-2</v>
      </c>
      <c r="BG220" s="4">
        <v>8.1603339166095398E-2</v>
      </c>
      <c r="BH220" s="4">
        <v>0.10494667661451799</v>
      </c>
      <c r="BI220" s="4">
        <v>5.7898758251672698E-2</v>
      </c>
      <c r="BJ220" s="4">
        <v>6.6931755788380606E-2</v>
      </c>
      <c r="BK220" s="4">
        <v>5.9792639948885402E-2</v>
      </c>
      <c r="BL220" s="4">
        <v>7.4181351072202598E-2</v>
      </c>
      <c r="BM220" s="4">
        <v>2.4552729417729201E-2</v>
      </c>
      <c r="BN220" s="4">
        <v>2.0092806616154701E-2</v>
      </c>
      <c r="BO220" s="4">
        <v>2.9081670540890898E-2</v>
      </c>
      <c r="BP220" s="4">
        <v>8.2193136369222694E-2</v>
      </c>
      <c r="BQ220" s="4">
        <v>6.8285847789202797E-2</v>
      </c>
      <c r="BR220" s="4">
        <v>9.6315643408917004E-2</v>
      </c>
      <c r="BS220" s="4">
        <v>8.9128531751319601E-2</v>
      </c>
      <c r="BT220" s="4">
        <v>0.111040977127888</v>
      </c>
      <c r="BU220" s="4">
        <v>6.6876986289604798E-2</v>
      </c>
      <c r="BV220" s="4">
        <v>9.4901593447615798E-2</v>
      </c>
      <c r="BW220" s="4">
        <v>0.12218270399940399</v>
      </c>
      <c r="BX220" s="4">
        <v>6.7198301493796297E-2</v>
      </c>
      <c r="BY220" s="4">
        <v>8.6572635896919894E-2</v>
      </c>
      <c r="BZ220" s="4">
        <v>7.4417955172781602E-2</v>
      </c>
      <c r="CA220" s="4">
        <v>9.8915413074815606E-2</v>
      </c>
      <c r="CB220" s="4">
        <v>7.7496262366532398E-2</v>
      </c>
      <c r="CC220" s="4">
        <v>6.2943330172986103E-2</v>
      </c>
      <c r="CD220" s="4">
        <v>9.2274404501788199E-2</v>
      </c>
      <c r="CE220" s="4">
        <v>6.2267459691327499E-2</v>
      </c>
      <c r="CF220" s="4">
        <v>6.2862154792472993E-2</v>
      </c>
      <c r="CG220" s="4">
        <v>6.1663561547985198E-2</v>
      </c>
      <c r="CH220" s="4">
        <v>3.8950815804779701E-2</v>
      </c>
      <c r="CI220" s="4">
        <v>3.45088349051818E-2</v>
      </c>
      <c r="CJ220" s="4">
        <v>4.34615373709435E-2</v>
      </c>
      <c r="CK220" s="4">
        <v>5.1416238148806602E-2</v>
      </c>
      <c r="CL220" s="4">
        <v>5.44527995196709E-2</v>
      </c>
      <c r="CM220" s="4">
        <v>4.8332685298820899E-2</v>
      </c>
      <c r="CN220" s="4">
        <v>2.5117479189192399E-2</v>
      </c>
      <c r="CO220" s="4">
        <v>2.5346925244778801E-2</v>
      </c>
      <c r="CP220" s="4">
        <v>2.4884482403614499E-2</v>
      </c>
      <c r="CQ220" s="4">
        <v>2.2164366303638699E-2</v>
      </c>
      <c r="CR220" s="4">
        <v>2.94625868931419E-2</v>
      </c>
      <c r="CS220" s="4">
        <v>1.4753204087548899E-2</v>
      </c>
      <c r="CT220" s="1">
        <f>Table1[[#This Row],[Female %]]*Table1[[#This Row],[NWS_pin]]</f>
        <v>0</v>
      </c>
      <c r="CU220" s="1">
        <f>Table1[[#This Row],[Male %]]*Table1[[#This Row],[NWS_pin]]</f>
        <v>0</v>
      </c>
      <c r="CV220" s="1">
        <f>Table1[[#This Row],[Female% (0-2)22]]+Table1[[#This Row],[Male%(0-2)3]]</f>
        <v>0</v>
      </c>
      <c r="CW220" s="1">
        <f>$CT220*Table1[[#This Row],[Female% (0-2)]]</f>
        <v>0</v>
      </c>
      <c r="CX220" s="1">
        <f>$CU220*Table1[[#This Row],[Male%(0-2)]]</f>
        <v>0</v>
      </c>
      <c r="CY220" s="1">
        <f>Table1[[#This Row],[Female%  (3-5)5]]+Table1[[#This Row],[Male% (3-5)6]]</f>
        <v>0</v>
      </c>
      <c r="CZ220" s="1">
        <f>$AF220*Table1[[#This Row],[Female%  (3-5)]]</f>
        <v>0</v>
      </c>
      <c r="DA220" s="1">
        <f>$CU220*Table1[[#This Row],[Male% (3-5)]]</f>
        <v>0</v>
      </c>
      <c r="DB220" s="1">
        <f>Table1[[#This Row],[Female% (6-8)8]]+Table1[[#This Row],[Male%(6-8)9]]</f>
        <v>0</v>
      </c>
      <c r="DC220" s="1">
        <f>$CT220*Table1[[#This Row],[Female% (6-8)]]</f>
        <v>0</v>
      </c>
      <c r="DD220" s="1">
        <f>$CU220*Table1[[#This Row],[Male%(6-8)]]</f>
        <v>0</v>
      </c>
      <c r="DE220" s="1">
        <f>Table1[[#This Row],[Female% (9 - 11)11]]+Table1[[#This Row],[Male% (9 - 11)12]]</f>
        <v>0</v>
      </c>
      <c r="DF220" s="1">
        <f>$CT220*Table1[[#This Row],[Female% (9 - 11)]]</f>
        <v>0</v>
      </c>
      <c r="DG220" s="1">
        <f>$CU220*Table1[[#This Row],[Male% (9 - 11)]]</f>
        <v>0</v>
      </c>
      <c r="DH220" s="1">
        <f>Table1[[#This Row],[Female% (12-14)14]]+Table1[[#This Row],[Male%(12-14)15]]</f>
        <v>0</v>
      </c>
      <c r="DI220" s="1">
        <f>$CT220*Table1[[#This Row],[Female% (12-14)]]</f>
        <v>0</v>
      </c>
      <c r="DJ220" s="1">
        <f>$CU220*Table1[[#This Row],[Male%(12-14)]]</f>
        <v>0</v>
      </c>
      <c r="DK220" s="1">
        <f>Table1[[#This Row],[Female% (15-17)17]]+Table1[[#This Row],[Male%(15-17)18]]</f>
        <v>0</v>
      </c>
      <c r="DL220" s="1">
        <f>$CT220*Table1[[#This Row],[Female% (15-17)]]</f>
        <v>0</v>
      </c>
      <c r="DM220" s="1">
        <f>$CU220*Table1[[#This Row],[Male%(15-17)]]</f>
        <v>0</v>
      </c>
      <c r="DN220" s="1">
        <f>$AF220*Table1[[#This Row],[Total% (18-19)]]</f>
        <v>0</v>
      </c>
      <c r="DO220" s="1">
        <f>$CT220*Table1[[#This Row],[Female% (18-19)]]</f>
        <v>0</v>
      </c>
      <c r="DP220" s="1">
        <f>$CU220*Table1[[#This Row],[Male%(18-19)]]</f>
        <v>0</v>
      </c>
      <c r="DQ220" s="1">
        <f>$AF220*Table1[[#This Row],[Total% (20-24)]]</f>
        <v>0</v>
      </c>
      <c r="DR220" s="1">
        <f>$CT220*Table1[[#This Row],[Female% (20-24)]]</f>
        <v>0</v>
      </c>
      <c r="DS220" s="1">
        <f>$CU220*Table1[[#This Row],[Male% (20-24)]]</f>
        <v>0</v>
      </c>
      <c r="DT220" s="1">
        <f>$AF220*Table1[[#This Row],[Total% (25-29)]]</f>
        <v>0</v>
      </c>
      <c r="DU220" s="1">
        <f>$CT220*Table1[[#This Row],[Female% (25-29)]]</f>
        <v>0</v>
      </c>
      <c r="DV220" s="1">
        <f>$CU220*Table1[[#This Row],[Male% (25-29)]]</f>
        <v>0</v>
      </c>
      <c r="DW220" s="1">
        <f>$AF220*Table1[[#This Row],[Total%   (30-34)]]</f>
        <v>0</v>
      </c>
      <c r="DX220" s="1">
        <f>$CT220*Table1[[#This Row],[Female%   (30-34)]]</f>
        <v>0</v>
      </c>
      <c r="DY220" s="1">
        <f>$CU220*Table1[[#This Row],[Male%  (30-34)]]</f>
        <v>0</v>
      </c>
      <c r="DZ220" s="1">
        <f>$AF220*Table1[[#This Row],[Total% (35-39)]]</f>
        <v>0</v>
      </c>
      <c r="EA220" s="1">
        <f>$CT220*Table1[[#This Row],[Female% (35-39)]]</f>
        <v>0</v>
      </c>
      <c r="EB220" s="1">
        <f>$CU220*Table1[[#This Row],[Male% (35-39)]]</f>
        <v>0</v>
      </c>
      <c r="EC220" s="1">
        <f>$AF220*Table1[[#This Row],[Total% (40-44)]]</f>
        <v>0</v>
      </c>
      <c r="ED220" s="1">
        <f>$CT220*Table1[[#This Row],[Female% (40-44)]]</f>
        <v>0</v>
      </c>
      <c r="EE220" s="1">
        <f>$CU220*Table1[[#This Row],[Male%(55-59)]]</f>
        <v>0</v>
      </c>
      <c r="EF220" s="1">
        <f>$AF220*Table1[[#This Row],[Total% (45-49)]]</f>
        <v>0</v>
      </c>
      <c r="EG220" s="1">
        <f>$CT220*Table1[[#This Row],[Female% (45-49)]]</f>
        <v>0</v>
      </c>
      <c r="EH220" s="1">
        <f>$CU220*Table1[[#This Row],[Male% (45-49)]]</f>
        <v>0</v>
      </c>
      <c r="EI220" s="1">
        <f>$AF220*Table1[[#This Row],[Total% (50-54)]]</f>
        <v>0</v>
      </c>
      <c r="EJ220" s="1">
        <f>$CT220*Table1[[#This Row],[Female%(50-54)]]</f>
        <v>0</v>
      </c>
      <c r="EK220" s="1">
        <f>$CU220*Table1[[#This Row],[Male% (50-54)]]</f>
        <v>0</v>
      </c>
      <c r="EL220" s="1">
        <f>$AF220*Table1[[#This Row],[Total% (55-59)]]</f>
        <v>0</v>
      </c>
      <c r="EM220" s="1">
        <f>$CT220*Table1[[#This Row],[Female% (55-59)]]</f>
        <v>0</v>
      </c>
      <c r="EN220" s="1">
        <f>$CU220*Table1[[#This Row],[Male% (55-59)]]</f>
        <v>0</v>
      </c>
      <c r="EO220" s="1">
        <f>$AF220*Table1[[#This Row],[Total% (60-64)]]</f>
        <v>0</v>
      </c>
      <c r="EP220" s="1">
        <f>$CT220*Table1[[#This Row],[Female%(60-64)]]</f>
        <v>0</v>
      </c>
      <c r="EQ220" s="1">
        <f>$CU220*Table1[[#This Row],[Male%(60-64)]]</f>
        <v>0</v>
      </c>
      <c r="ER220" s="1">
        <f>$AF220*Table1[[#This Row],[Total% (&gt;=65)]]</f>
        <v>0</v>
      </c>
      <c r="ES220" s="1">
        <f>$CT220*Table1[[#This Row],[Female%(&gt;=65)]]</f>
        <v>0</v>
      </c>
      <c r="ET220" s="1">
        <f>$CU220*Table1[[#This Row],[Male% (&gt;=65)]]</f>
        <v>0</v>
      </c>
    </row>
    <row r="221" spans="1:150" hidden="1" x14ac:dyDescent="0.35">
      <c r="A221" t="s">
        <v>6</v>
      </c>
      <c r="B221" t="s">
        <v>7</v>
      </c>
      <c r="C221" t="s">
        <v>22</v>
      </c>
      <c r="D221" t="s">
        <v>23</v>
      </c>
      <c r="E221" t="s">
        <v>532</v>
      </c>
      <c r="F221" t="s">
        <v>533</v>
      </c>
      <c r="H221">
        <v>2</v>
      </c>
      <c r="I221" s="1">
        <v>0</v>
      </c>
      <c r="J221" s="1">
        <v>8504</v>
      </c>
      <c r="K221" s="1">
        <v>939</v>
      </c>
      <c r="L221" s="1">
        <v>0</v>
      </c>
      <c r="M221" s="1">
        <v>0</v>
      </c>
      <c r="N221" s="1">
        <v>939</v>
      </c>
      <c r="O221" s="3">
        <v>1</v>
      </c>
      <c r="P221" s="3">
        <v>0</v>
      </c>
      <c r="Q221" s="3">
        <v>0</v>
      </c>
      <c r="R221" s="3">
        <v>0</v>
      </c>
      <c r="S221" s="3">
        <v>0</v>
      </c>
      <c r="T221" s="1">
        <v>9443</v>
      </c>
      <c r="U221" s="1">
        <v>0</v>
      </c>
      <c r="V221" s="10">
        <f>Table1[[#This Row],[Pop NW+RATAA]]*Table1[[#This Row],[Perc_pop_Northern_Aleppo]]</f>
        <v>0</v>
      </c>
      <c r="W221" s="10">
        <f>Table1[[#This Row],[Pop NW+RATAA]]*Table1[[#This Row],[Perc_pop_Afrin District]]</f>
        <v>0</v>
      </c>
      <c r="X221" s="10">
        <f>Table1[[#This Row],[Pop NW+RATAA]]*Table1[[#This Row],[Perc_pop_Euphrates Shiled]]</f>
        <v>0</v>
      </c>
      <c r="Y221" s="10">
        <f>Table1[[#This Row],[Pop NW+RATAA]]*Table1[[#This Row],[Perc_Pop_Idleb_NSAG]]</f>
        <v>0</v>
      </c>
      <c r="Z221" s="3">
        <v>0</v>
      </c>
      <c r="AA221" s="3">
        <v>0</v>
      </c>
      <c r="AB221" s="3">
        <v>0</v>
      </c>
      <c r="AC221" s="3">
        <v>0</v>
      </c>
      <c r="AD221" s="1">
        <v>939</v>
      </c>
      <c r="AE221" s="1">
        <v>0</v>
      </c>
      <c r="AF221" s="1">
        <v>0</v>
      </c>
      <c r="AG221" s="1">
        <v>0</v>
      </c>
      <c r="AH221" s="1">
        <v>0</v>
      </c>
      <c r="AI221" s="1">
        <f>Table1[[#This Row],[NWS_pin]]*Table1[[#This Row],[Perc_pop_Northern_Aleppo]]</f>
        <v>0</v>
      </c>
      <c r="AJ221" s="1">
        <f>Table1[[#This Row],[NWS_pin]]*Table1[[#This Row],[Perc_pop_Afrin District]]</f>
        <v>0</v>
      </c>
      <c r="AK221" s="1">
        <f>Table1[[#This Row],[NWS_pin]]*Table1[[#This Row],[Perc_pop_Euphrates Shiled]]</f>
        <v>0</v>
      </c>
      <c r="AL221" s="1">
        <f>Table1[[#This Row],[NWS_pin]]*Table1[[#This Row],[Perc_Pop_Idleb_NSAG]]</f>
        <v>0</v>
      </c>
      <c r="AM221" s="4">
        <v>0.48769577669162101</v>
      </c>
      <c r="AN221" s="4">
        <v>0.51230422330837899</v>
      </c>
      <c r="AO221" s="4">
        <v>4.8163005660279402E-2</v>
      </c>
      <c r="AP221" s="4">
        <v>0.34854595410886902</v>
      </c>
      <c r="AQ221" s="4">
        <v>0.61327044104573503</v>
      </c>
      <c r="AR221" s="4">
        <v>3.4612113865326302E-3</v>
      </c>
      <c r="AS221" s="4">
        <v>0</v>
      </c>
      <c r="AT221" s="4">
        <v>3.4722393458863403E-2</v>
      </c>
      <c r="AU221" s="4">
        <v>5.2190935537347501E-2</v>
      </c>
      <c r="AV221" s="4">
        <v>5.8545906383843702E-2</v>
      </c>
      <c r="AW221" s="4">
        <v>4.6141224639358498E-2</v>
      </c>
      <c r="AX221" s="4">
        <v>4.9481459976480201E-2</v>
      </c>
      <c r="AY221" s="4">
        <v>4.2156760621239901E-2</v>
      </c>
      <c r="AZ221" s="4">
        <v>5.6454318638502601E-2</v>
      </c>
      <c r="BA221" s="4">
        <v>8.0433855388564998E-2</v>
      </c>
      <c r="BB221" s="4">
        <v>6.9404242010120298E-2</v>
      </c>
      <c r="BC221" s="4">
        <v>9.0933663156050407E-2</v>
      </c>
      <c r="BD221" s="4">
        <v>4.5076928337293501E-2</v>
      </c>
      <c r="BE221" s="4">
        <v>6.8975136041257795E-2</v>
      </c>
      <c r="BF221" s="4">
        <v>2.2326666993641001E-2</v>
      </c>
      <c r="BG221" s="4">
        <v>8.2377195833230707E-2</v>
      </c>
      <c r="BH221" s="4">
        <v>7.9099223410544095E-2</v>
      </c>
      <c r="BI221" s="4">
        <v>8.5497711405661606E-2</v>
      </c>
      <c r="BJ221" s="4">
        <v>7.5887834505340701E-2</v>
      </c>
      <c r="BK221" s="4">
        <v>6.8899140551176796E-2</v>
      </c>
      <c r="BL221" s="4">
        <v>8.2540827728830798E-2</v>
      </c>
      <c r="BM221" s="4">
        <v>1.62500014657639E-2</v>
      </c>
      <c r="BN221" s="4">
        <v>1.55105264101015E-2</v>
      </c>
      <c r="BO221" s="4">
        <v>1.6953955962344901E-2</v>
      </c>
      <c r="BP221" s="4">
        <v>4.6712426270542999E-2</v>
      </c>
      <c r="BQ221" s="4">
        <v>3.4798924641685401E-2</v>
      </c>
      <c r="BR221" s="4">
        <v>5.8053664866003898E-2</v>
      </c>
      <c r="BS221" s="4">
        <v>8.9055939694604097E-2</v>
      </c>
      <c r="BT221" s="4">
        <v>0.12737727541777599</v>
      </c>
      <c r="BU221" s="4">
        <v>5.2575362843839298E-2</v>
      </c>
      <c r="BV221" s="4">
        <v>0.107757961485651</v>
      </c>
      <c r="BW221" s="4">
        <v>0.110024429565507</v>
      </c>
      <c r="BX221" s="4">
        <v>0.10560036281622499</v>
      </c>
      <c r="BY221" s="4">
        <v>8.6190043057756099E-2</v>
      </c>
      <c r="BZ221" s="4">
        <v>8.7107614518433005E-2</v>
      </c>
      <c r="CA221" s="4">
        <v>8.5316546986817995E-2</v>
      </c>
      <c r="CB221" s="4">
        <v>9.7651494402768296E-2</v>
      </c>
      <c r="CC221" s="4">
        <v>9.8250463718427605E-2</v>
      </c>
      <c r="CD221" s="4">
        <v>9.7081296476761503E-2</v>
      </c>
      <c r="CE221" s="4">
        <v>6.4389063789771994E-2</v>
      </c>
      <c r="CF221" s="4">
        <v>4.4975866736758401E-2</v>
      </c>
      <c r="CG221" s="4">
        <v>8.2869751209633205E-2</v>
      </c>
      <c r="CH221" s="4">
        <v>1.9900847502078399E-2</v>
      </c>
      <c r="CI221" s="4">
        <v>2.1748448683593699E-2</v>
      </c>
      <c r="CJ221" s="4">
        <v>1.81419955304578E-2</v>
      </c>
      <c r="CK221" s="4">
        <v>4.2924209713907202E-2</v>
      </c>
      <c r="CL221" s="4">
        <v>4.6209911242578797E-2</v>
      </c>
      <c r="CM221" s="4">
        <v>3.9796336301788603E-2</v>
      </c>
      <c r="CN221" s="4">
        <v>2.1289020743275301E-2</v>
      </c>
      <c r="CO221" s="4">
        <v>1.11400081911966E-2</v>
      </c>
      <c r="CP221" s="4">
        <v>3.09505271959746E-2</v>
      </c>
      <c r="CQ221" s="4">
        <v>2.2430782295622901E-2</v>
      </c>
      <c r="CR221" s="4">
        <v>1.5776121855759901E-2</v>
      </c>
      <c r="CS221" s="4">
        <v>2.8765787248108798E-2</v>
      </c>
      <c r="CT221" s="1">
        <f>Table1[[#This Row],[Female %]]*Table1[[#This Row],[NWS_pin]]</f>
        <v>0</v>
      </c>
      <c r="CU221" s="1">
        <f>Table1[[#This Row],[Male %]]*Table1[[#This Row],[NWS_pin]]</f>
        <v>0</v>
      </c>
      <c r="CV221" s="1">
        <f>Table1[[#This Row],[Female% (0-2)22]]+Table1[[#This Row],[Male%(0-2)3]]</f>
        <v>0</v>
      </c>
      <c r="CW221" s="1">
        <f>$CT221*Table1[[#This Row],[Female% (0-2)]]</f>
        <v>0</v>
      </c>
      <c r="CX221" s="1">
        <f>$CU221*Table1[[#This Row],[Male%(0-2)]]</f>
        <v>0</v>
      </c>
      <c r="CY221" s="1">
        <f>Table1[[#This Row],[Female%  (3-5)5]]+Table1[[#This Row],[Male% (3-5)6]]</f>
        <v>0</v>
      </c>
      <c r="CZ221" s="1">
        <f>$AF221*Table1[[#This Row],[Female%  (3-5)]]</f>
        <v>0</v>
      </c>
      <c r="DA221" s="1">
        <f>$CU221*Table1[[#This Row],[Male% (3-5)]]</f>
        <v>0</v>
      </c>
      <c r="DB221" s="1">
        <f>Table1[[#This Row],[Female% (6-8)8]]+Table1[[#This Row],[Male%(6-8)9]]</f>
        <v>0</v>
      </c>
      <c r="DC221" s="1">
        <f>$CT221*Table1[[#This Row],[Female% (6-8)]]</f>
        <v>0</v>
      </c>
      <c r="DD221" s="1">
        <f>$CU221*Table1[[#This Row],[Male%(6-8)]]</f>
        <v>0</v>
      </c>
      <c r="DE221" s="1">
        <f>Table1[[#This Row],[Female% (9 - 11)11]]+Table1[[#This Row],[Male% (9 - 11)12]]</f>
        <v>0</v>
      </c>
      <c r="DF221" s="1">
        <f>$CT221*Table1[[#This Row],[Female% (9 - 11)]]</f>
        <v>0</v>
      </c>
      <c r="DG221" s="1">
        <f>$CU221*Table1[[#This Row],[Male% (9 - 11)]]</f>
        <v>0</v>
      </c>
      <c r="DH221" s="1">
        <f>Table1[[#This Row],[Female% (12-14)14]]+Table1[[#This Row],[Male%(12-14)15]]</f>
        <v>0</v>
      </c>
      <c r="DI221" s="1">
        <f>$CT221*Table1[[#This Row],[Female% (12-14)]]</f>
        <v>0</v>
      </c>
      <c r="DJ221" s="1">
        <f>$CU221*Table1[[#This Row],[Male%(12-14)]]</f>
        <v>0</v>
      </c>
      <c r="DK221" s="1">
        <f>Table1[[#This Row],[Female% (15-17)17]]+Table1[[#This Row],[Male%(15-17)18]]</f>
        <v>0</v>
      </c>
      <c r="DL221" s="1">
        <f>$CT221*Table1[[#This Row],[Female% (15-17)]]</f>
        <v>0</v>
      </c>
      <c r="DM221" s="1">
        <f>$CU221*Table1[[#This Row],[Male%(15-17)]]</f>
        <v>0</v>
      </c>
      <c r="DN221" s="1">
        <f>$AF221*Table1[[#This Row],[Total% (18-19)]]</f>
        <v>0</v>
      </c>
      <c r="DO221" s="1">
        <f>$CT221*Table1[[#This Row],[Female% (18-19)]]</f>
        <v>0</v>
      </c>
      <c r="DP221" s="1">
        <f>$CU221*Table1[[#This Row],[Male%(18-19)]]</f>
        <v>0</v>
      </c>
      <c r="DQ221" s="1">
        <f>$AF221*Table1[[#This Row],[Total% (20-24)]]</f>
        <v>0</v>
      </c>
      <c r="DR221" s="1">
        <f>$CT221*Table1[[#This Row],[Female% (20-24)]]</f>
        <v>0</v>
      </c>
      <c r="DS221" s="1">
        <f>$CU221*Table1[[#This Row],[Male% (20-24)]]</f>
        <v>0</v>
      </c>
      <c r="DT221" s="1">
        <f>$AF221*Table1[[#This Row],[Total% (25-29)]]</f>
        <v>0</v>
      </c>
      <c r="DU221" s="1">
        <f>$CT221*Table1[[#This Row],[Female% (25-29)]]</f>
        <v>0</v>
      </c>
      <c r="DV221" s="1">
        <f>$CU221*Table1[[#This Row],[Male% (25-29)]]</f>
        <v>0</v>
      </c>
      <c r="DW221" s="1">
        <f>$AF221*Table1[[#This Row],[Total%   (30-34)]]</f>
        <v>0</v>
      </c>
      <c r="DX221" s="1">
        <f>$CT221*Table1[[#This Row],[Female%   (30-34)]]</f>
        <v>0</v>
      </c>
      <c r="DY221" s="1">
        <f>$CU221*Table1[[#This Row],[Male%  (30-34)]]</f>
        <v>0</v>
      </c>
      <c r="DZ221" s="1">
        <f>$AF221*Table1[[#This Row],[Total% (35-39)]]</f>
        <v>0</v>
      </c>
      <c r="EA221" s="1">
        <f>$CT221*Table1[[#This Row],[Female% (35-39)]]</f>
        <v>0</v>
      </c>
      <c r="EB221" s="1">
        <f>$CU221*Table1[[#This Row],[Male% (35-39)]]</f>
        <v>0</v>
      </c>
      <c r="EC221" s="1">
        <f>$AF221*Table1[[#This Row],[Total% (40-44)]]</f>
        <v>0</v>
      </c>
      <c r="ED221" s="1">
        <f>$CT221*Table1[[#This Row],[Female% (40-44)]]</f>
        <v>0</v>
      </c>
      <c r="EE221" s="1">
        <f>$CU221*Table1[[#This Row],[Male%(55-59)]]</f>
        <v>0</v>
      </c>
      <c r="EF221" s="1">
        <f>$AF221*Table1[[#This Row],[Total% (45-49)]]</f>
        <v>0</v>
      </c>
      <c r="EG221" s="1">
        <f>$CT221*Table1[[#This Row],[Female% (45-49)]]</f>
        <v>0</v>
      </c>
      <c r="EH221" s="1">
        <f>$CU221*Table1[[#This Row],[Male% (45-49)]]</f>
        <v>0</v>
      </c>
      <c r="EI221" s="1">
        <f>$AF221*Table1[[#This Row],[Total% (50-54)]]</f>
        <v>0</v>
      </c>
      <c r="EJ221" s="1">
        <f>$CT221*Table1[[#This Row],[Female%(50-54)]]</f>
        <v>0</v>
      </c>
      <c r="EK221" s="1">
        <f>$CU221*Table1[[#This Row],[Male% (50-54)]]</f>
        <v>0</v>
      </c>
      <c r="EL221" s="1">
        <f>$AF221*Table1[[#This Row],[Total% (55-59)]]</f>
        <v>0</v>
      </c>
      <c r="EM221" s="1">
        <f>$CT221*Table1[[#This Row],[Female% (55-59)]]</f>
        <v>0</v>
      </c>
      <c r="EN221" s="1">
        <f>$CU221*Table1[[#This Row],[Male% (55-59)]]</f>
        <v>0</v>
      </c>
      <c r="EO221" s="1">
        <f>$AF221*Table1[[#This Row],[Total% (60-64)]]</f>
        <v>0</v>
      </c>
      <c r="EP221" s="1">
        <f>$CT221*Table1[[#This Row],[Female%(60-64)]]</f>
        <v>0</v>
      </c>
      <c r="EQ221" s="1">
        <f>$CU221*Table1[[#This Row],[Male%(60-64)]]</f>
        <v>0</v>
      </c>
      <c r="ER221" s="1">
        <f>$AF221*Table1[[#This Row],[Total% (&gt;=65)]]</f>
        <v>0</v>
      </c>
      <c r="ES221" s="1">
        <f>$CT221*Table1[[#This Row],[Female%(&gt;=65)]]</f>
        <v>0</v>
      </c>
      <c r="ET221" s="1">
        <f>$CU221*Table1[[#This Row],[Male% (&gt;=65)]]</f>
        <v>0</v>
      </c>
    </row>
    <row r="222" spans="1:150" hidden="1" x14ac:dyDescent="0.35">
      <c r="A222" t="s">
        <v>6</v>
      </c>
      <c r="B222" t="s">
        <v>7</v>
      </c>
      <c r="C222" t="s">
        <v>22</v>
      </c>
      <c r="D222" t="s">
        <v>23</v>
      </c>
      <c r="E222" t="s">
        <v>24</v>
      </c>
      <c r="F222" t="s">
        <v>25</v>
      </c>
      <c r="H222">
        <v>2</v>
      </c>
      <c r="I222" s="1">
        <v>147</v>
      </c>
      <c r="J222" s="1">
        <v>14596</v>
      </c>
      <c r="K222" s="1">
        <v>292</v>
      </c>
      <c r="L222" s="1">
        <v>0</v>
      </c>
      <c r="M222" s="1">
        <v>0</v>
      </c>
      <c r="N222" s="1">
        <v>292</v>
      </c>
      <c r="O222" s="3">
        <v>1</v>
      </c>
      <c r="P222" s="3">
        <v>0</v>
      </c>
      <c r="Q222" s="3">
        <v>0</v>
      </c>
      <c r="R222" s="3">
        <v>0</v>
      </c>
      <c r="S222" s="3">
        <v>0</v>
      </c>
      <c r="T222" s="1">
        <v>15035</v>
      </c>
      <c r="U222" s="1">
        <v>0</v>
      </c>
      <c r="V222" s="10">
        <f>Table1[[#This Row],[Pop NW+RATAA]]*Table1[[#This Row],[Perc_pop_Northern_Aleppo]]</f>
        <v>0</v>
      </c>
      <c r="W222" s="10">
        <f>Table1[[#This Row],[Pop NW+RATAA]]*Table1[[#This Row],[Perc_pop_Afrin District]]</f>
        <v>0</v>
      </c>
      <c r="X222" s="10">
        <f>Table1[[#This Row],[Pop NW+RATAA]]*Table1[[#This Row],[Perc_pop_Euphrates Shiled]]</f>
        <v>0</v>
      </c>
      <c r="Y222" s="10">
        <f>Table1[[#This Row],[Pop NW+RATAA]]*Table1[[#This Row],[Perc_Pop_Idleb_NSAG]]</f>
        <v>0</v>
      </c>
      <c r="Z222" s="3">
        <v>0</v>
      </c>
      <c r="AA222" s="3">
        <v>0</v>
      </c>
      <c r="AB222" s="3">
        <v>0</v>
      </c>
      <c r="AC222" s="3">
        <v>0</v>
      </c>
      <c r="AD222" s="1">
        <v>292</v>
      </c>
      <c r="AE222" s="1">
        <v>0</v>
      </c>
      <c r="AF222" s="1">
        <v>0</v>
      </c>
      <c r="AG222" s="1">
        <v>0</v>
      </c>
      <c r="AH222" s="1">
        <v>0</v>
      </c>
      <c r="AI222" s="1">
        <f>Table1[[#This Row],[NWS_pin]]*Table1[[#This Row],[Perc_pop_Northern_Aleppo]]</f>
        <v>0</v>
      </c>
      <c r="AJ222" s="1">
        <f>Table1[[#This Row],[NWS_pin]]*Table1[[#This Row],[Perc_pop_Afrin District]]</f>
        <v>0</v>
      </c>
      <c r="AK222" s="1">
        <f>Table1[[#This Row],[NWS_pin]]*Table1[[#This Row],[Perc_pop_Euphrates Shiled]]</f>
        <v>0</v>
      </c>
      <c r="AL222" s="1">
        <f>Table1[[#This Row],[NWS_pin]]*Table1[[#This Row],[Perc_Pop_Idleb_NSAG]]</f>
        <v>0</v>
      </c>
      <c r="AM222" s="4">
        <v>0.49438692744088703</v>
      </c>
      <c r="AN222" s="4">
        <v>0.50561307255911303</v>
      </c>
      <c r="AO222" s="4">
        <v>0.1140884376654</v>
      </c>
      <c r="AP222" s="4">
        <v>0.435874302956899</v>
      </c>
      <c r="AQ222" s="4">
        <v>0.52181471816164904</v>
      </c>
      <c r="AR222" s="4">
        <v>0</v>
      </c>
      <c r="AS222" s="4">
        <v>0</v>
      </c>
      <c r="AT222" s="4">
        <v>4.23109788814518E-2</v>
      </c>
      <c r="AU222" s="4">
        <v>3.4781654664234302E-2</v>
      </c>
      <c r="AV222" s="4">
        <v>2.95857481047841E-2</v>
      </c>
      <c r="AW222" s="4">
        <v>3.98621963246681E-2</v>
      </c>
      <c r="AX222" s="4">
        <v>6.0576087307672999E-2</v>
      </c>
      <c r="AY222" s="4">
        <v>6.4821216006336696E-2</v>
      </c>
      <c r="AZ222" s="4">
        <v>5.6425213353206299E-2</v>
      </c>
      <c r="BA222" s="4">
        <v>7.6208566463664099E-2</v>
      </c>
      <c r="BB222" s="4">
        <v>5.7291079372138502E-2</v>
      </c>
      <c r="BC222" s="4">
        <v>9.4706027913275898E-2</v>
      </c>
      <c r="BD222" s="4">
        <v>7.1364320715079393E-2</v>
      </c>
      <c r="BE222" s="4">
        <v>6.4052353731386194E-2</v>
      </c>
      <c r="BF222" s="4">
        <v>7.8513939834538998E-2</v>
      </c>
      <c r="BG222" s="4">
        <v>6.7914878294647998E-2</v>
      </c>
      <c r="BH222" s="4">
        <v>8.4725791442544399E-2</v>
      </c>
      <c r="BI222" s="4">
        <v>5.1477218452116197E-2</v>
      </c>
      <c r="BJ222" s="4">
        <v>4.7268095246972099E-2</v>
      </c>
      <c r="BK222" s="4">
        <v>3.4490730997135503E-2</v>
      </c>
      <c r="BL222" s="4">
        <v>5.97617632217676E-2</v>
      </c>
      <c r="BM222" s="4">
        <v>1.67357090581472E-2</v>
      </c>
      <c r="BN222" s="4">
        <v>1.47305098777384E-2</v>
      </c>
      <c r="BO222" s="4">
        <v>1.86963867294971E-2</v>
      </c>
      <c r="BP222" s="4">
        <v>5.4156487360734702E-2</v>
      </c>
      <c r="BQ222" s="4">
        <v>5.97091197769491E-2</v>
      </c>
      <c r="BR222" s="4">
        <v>4.8727140240481998E-2</v>
      </c>
      <c r="BS222" s="4">
        <v>0.11822023821677401</v>
      </c>
      <c r="BT222" s="4">
        <v>0.160023913317036</v>
      </c>
      <c r="BU222" s="4">
        <v>7.7344731608626802E-2</v>
      </c>
      <c r="BV222" s="4">
        <v>6.2513266569697704E-2</v>
      </c>
      <c r="BW222" s="4">
        <v>6.2945736268966698E-2</v>
      </c>
      <c r="BX222" s="4">
        <v>6.2090399010615901E-2</v>
      </c>
      <c r="BY222" s="4">
        <v>9.1884422317423997E-2</v>
      </c>
      <c r="BZ222" s="4">
        <v>9.5742665464964904E-2</v>
      </c>
      <c r="CA222" s="4">
        <v>8.8111843880363194E-2</v>
      </c>
      <c r="CB222" s="4">
        <v>7.1651962773178299E-2</v>
      </c>
      <c r="CC222" s="4">
        <v>8.0082162649881203E-2</v>
      </c>
      <c r="CD222" s="4">
        <v>6.3408938925592795E-2</v>
      </c>
      <c r="CE222" s="4">
        <v>7.1757047419955297E-2</v>
      </c>
      <c r="CF222" s="4">
        <v>5.2199233517205297E-2</v>
      </c>
      <c r="CG222" s="4">
        <v>9.0880618481719702E-2</v>
      </c>
      <c r="CH222" s="4">
        <v>4.9818363615264503E-2</v>
      </c>
      <c r="CI222" s="4">
        <v>5.0459785731448999E-2</v>
      </c>
      <c r="CJ222" s="4">
        <v>4.9191183017247099E-2</v>
      </c>
      <c r="CK222" s="4">
        <v>3.47707170479261E-2</v>
      </c>
      <c r="CL222" s="4">
        <v>3.1729349411298097E-2</v>
      </c>
      <c r="CM222" s="4">
        <v>3.7744557090234103E-2</v>
      </c>
      <c r="CN222" s="4">
        <v>2.3587002859594999E-2</v>
      </c>
      <c r="CO222" s="4">
        <v>1.2522074316131801E-2</v>
      </c>
      <c r="CP222" s="4">
        <v>3.4406256399200003E-2</v>
      </c>
      <c r="CQ222" s="4">
        <v>4.6791180069032497E-2</v>
      </c>
      <c r="CR222" s="4">
        <v>4.4888530014054497E-2</v>
      </c>
      <c r="CS222" s="4">
        <v>4.8651585516848103E-2</v>
      </c>
      <c r="CT222" s="1">
        <f>Table1[[#This Row],[Female %]]*Table1[[#This Row],[NWS_pin]]</f>
        <v>0</v>
      </c>
      <c r="CU222" s="1">
        <f>Table1[[#This Row],[Male %]]*Table1[[#This Row],[NWS_pin]]</f>
        <v>0</v>
      </c>
      <c r="CV222" s="1">
        <f>Table1[[#This Row],[Female% (0-2)22]]+Table1[[#This Row],[Male%(0-2)3]]</f>
        <v>0</v>
      </c>
      <c r="CW222" s="1">
        <f>$CT222*Table1[[#This Row],[Female% (0-2)]]</f>
        <v>0</v>
      </c>
      <c r="CX222" s="1">
        <f>$CU222*Table1[[#This Row],[Male%(0-2)]]</f>
        <v>0</v>
      </c>
      <c r="CY222" s="1">
        <f>Table1[[#This Row],[Female%  (3-5)5]]+Table1[[#This Row],[Male% (3-5)6]]</f>
        <v>0</v>
      </c>
      <c r="CZ222" s="1">
        <f>$AF222*Table1[[#This Row],[Female%  (3-5)]]</f>
        <v>0</v>
      </c>
      <c r="DA222" s="1">
        <f>$CU222*Table1[[#This Row],[Male% (3-5)]]</f>
        <v>0</v>
      </c>
      <c r="DB222" s="1">
        <f>Table1[[#This Row],[Female% (6-8)8]]+Table1[[#This Row],[Male%(6-8)9]]</f>
        <v>0</v>
      </c>
      <c r="DC222" s="1">
        <f>$CT222*Table1[[#This Row],[Female% (6-8)]]</f>
        <v>0</v>
      </c>
      <c r="DD222" s="1">
        <f>$CU222*Table1[[#This Row],[Male%(6-8)]]</f>
        <v>0</v>
      </c>
      <c r="DE222" s="1">
        <f>Table1[[#This Row],[Female% (9 - 11)11]]+Table1[[#This Row],[Male% (9 - 11)12]]</f>
        <v>0</v>
      </c>
      <c r="DF222" s="1">
        <f>$CT222*Table1[[#This Row],[Female% (9 - 11)]]</f>
        <v>0</v>
      </c>
      <c r="DG222" s="1">
        <f>$CU222*Table1[[#This Row],[Male% (9 - 11)]]</f>
        <v>0</v>
      </c>
      <c r="DH222" s="1">
        <f>Table1[[#This Row],[Female% (12-14)14]]+Table1[[#This Row],[Male%(12-14)15]]</f>
        <v>0</v>
      </c>
      <c r="DI222" s="1">
        <f>$CT222*Table1[[#This Row],[Female% (12-14)]]</f>
        <v>0</v>
      </c>
      <c r="DJ222" s="1">
        <f>$CU222*Table1[[#This Row],[Male%(12-14)]]</f>
        <v>0</v>
      </c>
      <c r="DK222" s="1">
        <f>Table1[[#This Row],[Female% (15-17)17]]+Table1[[#This Row],[Male%(15-17)18]]</f>
        <v>0</v>
      </c>
      <c r="DL222" s="1">
        <f>$CT222*Table1[[#This Row],[Female% (15-17)]]</f>
        <v>0</v>
      </c>
      <c r="DM222" s="1">
        <f>$CU222*Table1[[#This Row],[Male%(15-17)]]</f>
        <v>0</v>
      </c>
      <c r="DN222" s="1">
        <f>$AF222*Table1[[#This Row],[Total% (18-19)]]</f>
        <v>0</v>
      </c>
      <c r="DO222" s="1">
        <f>$CT222*Table1[[#This Row],[Female% (18-19)]]</f>
        <v>0</v>
      </c>
      <c r="DP222" s="1">
        <f>$CU222*Table1[[#This Row],[Male%(18-19)]]</f>
        <v>0</v>
      </c>
      <c r="DQ222" s="1">
        <f>$AF222*Table1[[#This Row],[Total% (20-24)]]</f>
        <v>0</v>
      </c>
      <c r="DR222" s="1">
        <f>$CT222*Table1[[#This Row],[Female% (20-24)]]</f>
        <v>0</v>
      </c>
      <c r="DS222" s="1">
        <f>$CU222*Table1[[#This Row],[Male% (20-24)]]</f>
        <v>0</v>
      </c>
      <c r="DT222" s="1">
        <f>$AF222*Table1[[#This Row],[Total% (25-29)]]</f>
        <v>0</v>
      </c>
      <c r="DU222" s="1">
        <f>$CT222*Table1[[#This Row],[Female% (25-29)]]</f>
        <v>0</v>
      </c>
      <c r="DV222" s="1">
        <f>$CU222*Table1[[#This Row],[Male% (25-29)]]</f>
        <v>0</v>
      </c>
      <c r="DW222" s="1">
        <f>$AF222*Table1[[#This Row],[Total%   (30-34)]]</f>
        <v>0</v>
      </c>
      <c r="DX222" s="1">
        <f>$CT222*Table1[[#This Row],[Female%   (30-34)]]</f>
        <v>0</v>
      </c>
      <c r="DY222" s="1">
        <f>$CU222*Table1[[#This Row],[Male%  (30-34)]]</f>
        <v>0</v>
      </c>
      <c r="DZ222" s="1">
        <f>$AF222*Table1[[#This Row],[Total% (35-39)]]</f>
        <v>0</v>
      </c>
      <c r="EA222" s="1">
        <f>$CT222*Table1[[#This Row],[Female% (35-39)]]</f>
        <v>0</v>
      </c>
      <c r="EB222" s="1">
        <f>$CU222*Table1[[#This Row],[Male% (35-39)]]</f>
        <v>0</v>
      </c>
      <c r="EC222" s="1">
        <f>$AF222*Table1[[#This Row],[Total% (40-44)]]</f>
        <v>0</v>
      </c>
      <c r="ED222" s="1">
        <f>$CT222*Table1[[#This Row],[Female% (40-44)]]</f>
        <v>0</v>
      </c>
      <c r="EE222" s="1">
        <f>$CU222*Table1[[#This Row],[Male%(55-59)]]</f>
        <v>0</v>
      </c>
      <c r="EF222" s="1">
        <f>$AF222*Table1[[#This Row],[Total% (45-49)]]</f>
        <v>0</v>
      </c>
      <c r="EG222" s="1">
        <f>$CT222*Table1[[#This Row],[Female% (45-49)]]</f>
        <v>0</v>
      </c>
      <c r="EH222" s="1">
        <f>$CU222*Table1[[#This Row],[Male% (45-49)]]</f>
        <v>0</v>
      </c>
      <c r="EI222" s="1">
        <f>$AF222*Table1[[#This Row],[Total% (50-54)]]</f>
        <v>0</v>
      </c>
      <c r="EJ222" s="1">
        <f>$CT222*Table1[[#This Row],[Female%(50-54)]]</f>
        <v>0</v>
      </c>
      <c r="EK222" s="1">
        <f>$CU222*Table1[[#This Row],[Male% (50-54)]]</f>
        <v>0</v>
      </c>
      <c r="EL222" s="1">
        <f>$AF222*Table1[[#This Row],[Total% (55-59)]]</f>
        <v>0</v>
      </c>
      <c r="EM222" s="1">
        <f>$CT222*Table1[[#This Row],[Female% (55-59)]]</f>
        <v>0</v>
      </c>
      <c r="EN222" s="1">
        <f>$CU222*Table1[[#This Row],[Male% (55-59)]]</f>
        <v>0</v>
      </c>
      <c r="EO222" s="1">
        <f>$AF222*Table1[[#This Row],[Total% (60-64)]]</f>
        <v>0</v>
      </c>
      <c r="EP222" s="1">
        <f>$CT222*Table1[[#This Row],[Female%(60-64)]]</f>
        <v>0</v>
      </c>
      <c r="EQ222" s="1">
        <f>$CU222*Table1[[#This Row],[Male%(60-64)]]</f>
        <v>0</v>
      </c>
      <c r="ER222" s="1">
        <f>$AF222*Table1[[#This Row],[Total% (&gt;=65)]]</f>
        <v>0</v>
      </c>
      <c r="ES222" s="1">
        <f>$CT222*Table1[[#This Row],[Female%(&gt;=65)]]</f>
        <v>0</v>
      </c>
      <c r="ET222" s="1">
        <f>$CU222*Table1[[#This Row],[Male% (&gt;=65)]]</f>
        <v>0</v>
      </c>
    </row>
    <row r="223" spans="1:150" hidden="1" x14ac:dyDescent="0.35">
      <c r="A223" t="s">
        <v>6</v>
      </c>
      <c r="B223" t="s">
        <v>7</v>
      </c>
      <c r="C223" t="s">
        <v>70</v>
      </c>
      <c r="D223" t="s">
        <v>71</v>
      </c>
      <c r="E223" t="s">
        <v>70</v>
      </c>
      <c r="F223" t="s">
        <v>138</v>
      </c>
      <c r="H223">
        <v>3</v>
      </c>
      <c r="I223" s="1">
        <v>0</v>
      </c>
      <c r="J223" s="1">
        <v>27052</v>
      </c>
      <c r="K223" s="1">
        <v>9849</v>
      </c>
      <c r="L223" s="1">
        <v>0</v>
      </c>
      <c r="M223" s="1">
        <v>0</v>
      </c>
      <c r="N223" s="1">
        <v>9849</v>
      </c>
      <c r="O223" s="3">
        <v>1</v>
      </c>
      <c r="P223" s="3">
        <v>0</v>
      </c>
      <c r="Q223" s="3">
        <v>0</v>
      </c>
      <c r="R223" s="3">
        <v>0</v>
      </c>
      <c r="S223" s="3">
        <v>0</v>
      </c>
      <c r="T223" s="1">
        <v>36901</v>
      </c>
      <c r="U223" s="1">
        <v>0</v>
      </c>
      <c r="V223" s="10">
        <f>Table1[[#This Row],[Pop NW+RATAA]]*Table1[[#This Row],[Perc_pop_Northern_Aleppo]]</f>
        <v>0</v>
      </c>
      <c r="W223" s="10">
        <f>Table1[[#This Row],[Pop NW+RATAA]]*Table1[[#This Row],[Perc_pop_Afrin District]]</f>
        <v>0</v>
      </c>
      <c r="X223" s="10">
        <f>Table1[[#This Row],[Pop NW+RATAA]]*Table1[[#This Row],[Perc_pop_Euphrates Shiled]]</f>
        <v>0</v>
      </c>
      <c r="Y223" s="10">
        <f>Table1[[#This Row],[Pop NW+RATAA]]*Table1[[#This Row],[Perc_Pop_Idleb_NSAG]]</f>
        <v>0</v>
      </c>
      <c r="Z223" s="3">
        <v>0</v>
      </c>
      <c r="AA223" s="3">
        <v>0</v>
      </c>
      <c r="AB223" s="3">
        <v>0</v>
      </c>
      <c r="AC223" s="3">
        <v>0</v>
      </c>
      <c r="AD223" s="1">
        <v>9849</v>
      </c>
      <c r="AE223" s="1">
        <v>0</v>
      </c>
      <c r="AF223" s="1">
        <v>0</v>
      </c>
      <c r="AG223" s="1">
        <v>0</v>
      </c>
      <c r="AH223" s="1">
        <v>0</v>
      </c>
      <c r="AI223" s="1">
        <f>Table1[[#This Row],[NWS_pin]]*Table1[[#This Row],[Perc_pop_Northern_Aleppo]]</f>
        <v>0</v>
      </c>
      <c r="AJ223" s="1">
        <f>Table1[[#This Row],[NWS_pin]]*Table1[[#This Row],[Perc_pop_Afrin District]]</f>
        <v>0</v>
      </c>
      <c r="AK223" s="1">
        <f>Table1[[#This Row],[NWS_pin]]*Table1[[#This Row],[Perc_pop_Euphrates Shiled]]</f>
        <v>0</v>
      </c>
      <c r="AL223" s="1">
        <f>Table1[[#This Row],[NWS_pin]]*Table1[[#This Row],[Perc_Pop_Idleb_NSAG]]</f>
        <v>0</v>
      </c>
      <c r="AM223" s="4">
        <v>0.52561076349162095</v>
      </c>
      <c r="AN223" s="4">
        <v>0.474389236508379</v>
      </c>
      <c r="AO223" s="4">
        <v>0.127562358276644</v>
      </c>
      <c r="AP223" s="4">
        <v>0.48167082474601303</v>
      </c>
      <c r="AQ223" s="4">
        <v>0.44368806747721801</v>
      </c>
      <c r="AR223" s="4">
        <v>1.01602024281726E-2</v>
      </c>
      <c r="AS223" s="4">
        <v>0</v>
      </c>
      <c r="AT223" s="4">
        <v>6.4480905348595893E-2</v>
      </c>
      <c r="AU223" s="4">
        <v>2.40322802061829E-2</v>
      </c>
      <c r="AV223" s="4">
        <v>2.06403191032473E-2</v>
      </c>
      <c r="AW223" s="4">
        <v>2.7790483655675401E-2</v>
      </c>
      <c r="AX223" s="4">
        <v>4.18336034300874E-2</v>
      </c>
      <c r="AY223" s="4">
        <v>3.4054059602716999E-2</v>
      </c>
      <c r="AZ223" s="4">
        <v>5.0453132829229697E-2</v>
      </c>
      <c r="BA223" s="4">
        <v>5.7202076100929797E-2</v>
      </c>
      <c r="BB223" s="4">
        <v>4.5219097055162603E-2</v>
      </c>
      <c r="BC223" s="4">
        <v>7.0478900869357194E-2</v>
      </c>
      <c r="BD223" s="4">
        <v>8.0363128388311E-2</v>
      </c>
      <c r="BE223" s="4">
        <v>6.0871606705115197E-2</v>
      </c>
      <c r="BF223" s="4">
        <v>0.10195922038425</v>
      </c>
      <c r="BG223" s="4">
        <v>8.8656784802178895E-2</v>
      </c>
      <c r="BH223" s="4">
        <v>8.2172116015990906E-2</v>
      </c>
      <c r="BI223" s="4">
        <v>9.5841626804044802E-2</v>
      </c>
      <c r="BJ223" s="4">
        <v>7.1334521628517E-2</v>
      </c>
      <c r="BK223" s="4">
        <v>8.8777246608650495E-2</v>
      </c>
      <c r="BL223" s="4">
        <v>5.2008442348848501E-2</v>
      </c>
      <c r="BM223" s="4">
        <v>1.8726766294622801E-2</v>
      </c>
      <c r="BN223" s="4">
        <v>1.65740441190836E-2</v>
      </c>
      <c r="BO223" s="4">
        <v>2.1111925693682101E-2</v>
      </c>
      <c r="BP223" s="4">
        <v>2.784165607709E-2</v>
      </c>
      <c r="BQ223" s="4">
        <v>2.9100356527546899E-2</v>
      </c>
      <c r="BR223" s="4">
        <v>2.6447049172343699E-2</v>
      </c>
      <c r="BS223" s="4">
        <v>7.6597176852566798E-2</v>
      </c>
      <c r="BT223" s="4">
        <v>8.0215552309746904E-2</v>
      </c>
      <c r="BU223" s="4">
        <v>7.2588112269554902E-2</v>
      </c>
      <c r="BV223" s="4">
        <v>8.3334606040551304E-2</v>
      </c>
      <c r="BW223" s="4">
        <v>0.10975084794085201</v>
      </c>
      <c r="BX223" s="4">
        <v>5.4066106662295901E-2</v>
      </c>
      <c r="BY223" s="4">
        <v>0.11249687534061199</v>
      </c>
      <c r="BZ223" s="4">
        <v>0.128887837367544</v>
      </c>
      <c r="CA223" s="4">
        <v>9.4336121676072804E-2</v>
      </c>
      <c r="CB223" s="4">
        <v>8.2627720520456693E-2</v>
      </c>
      <c r="CC223" s="4">
        <v>7.6979419946535704E-2</v>
      </c>
      <c r="CD223" s="4">
        <v>8.8885888599774796E-2</v>
      </c>
      <c r="CE223" s="4">
        <v>4.7300762036166198E-2</v>
      </c>
      <c r="CF223" s="4">
        <v>2.19415767676624E-2</v>
      </c>
      <c r="CG223" s="4">
        <v>7.5398070543013701E-2</v>
      </c>
      <c r="CH223" s="4">
        <v>4.05767778577662E-2</v>
      </c>
      <c r="CI223" s="4">
        <v>5.4326162274173501E-2</v>
      </c>
      <c r="CJ223" s="4">
        <v>2.5342822522187999E-2</v>
      </c>
      <c r="CK223" s="4">
        <v>4.60285769545139E-2</v>
      </c>
      <c r="CL223" s="4">
        <v>3.8525637565758303E-2</v>
      </c>
      <c r="CM223" s="4">
        <v>5.43416359302639E-2</v>
      </c>
      <c r="CN223" s="4">
        <v>2.9207956225833501E-2</v>
      </c>
      <c r="CO223" s="4">
        <v>2.9616256887915499E-2</v>
      </c>
      <c r="CP223" s="4">
        <v>2.87555698599231E-2</v>
      </c>
      <c r="CQ223" s="4">
        <v>7.1838731243613396E-2</v>
      </c>
      <c r="CR223" s="4">
        <v>8.2347863202297505E-2</v>
      </c>
      <c r="CS223" s="4">
        <v>6.0194890179482E-2</v>
      </c>
      <c r="CT223" s="1">
        <f>Table1[[#This Row],[Female %]]*Table1[[#This Row],[NWS_pin]]</f>
        <v>0</v>
      </c>
      <c r="CU223" s="1">
        <f>Table1[[#This Row],[Male %]]*Table1[[#This Row],[NWS_pin]]</f>
        <v>0</v>
      </c>
      <c r="CV223" s="1">
        <f>Table1[[#This Row],[Female% (0-2)22]]+Table1[[#This Row],[Male%(0-2)3]]</f>
        <v>0</v>
      </c>
      <c r="CW223" s="1">
        <f>$CT223*Table1[[#This Row],[Female% (0-2)]]</f>
        <v>0</v>
      </c>
      <c r="CX223" s="1">
        <f>$CU223*Table1[[#This Row],[Male%(0-2)]]</f>
        <v>0</v>
      </c>
      <c r="CY223" s="1">
        <f>Table1[[#This Row],[Female%  (3-5)5]]+Table1[[#This Row],[Male% (3-5)6]]</f>
        <v>0</v>
      </c>
      <c r="CZ223" s="1">
        <f>$AF223*Table1[[#This Row],[Female%  (3-5)]]</f>
        <v>0</v>
      </c>
      <c r="DA223" s="1">
        <f>$CU223*Table1[[#This Row],[Male% (3-5)]]</f>
        <v>0</v>
      </c>
      <c r="DB223" s="1">
        <f>Table1[[#This Row],[Female% (6-8)8]]+Table1[[#This Row],[Male%(6-8)9]]</f>
        <v>0</v>
      </c>
      <c r="DC223" s="1">
        <f>$CT223*Table1[[#This Row],[Female% (6-8)]]</f>
        <v>0</v>
      </c>
      <c r="DD223" s="1">
        <f>$CU223*Table1[[#This Row],[Male%(6-8)]]</f>
        <v>0</v>
      </c>
      <c r="DE223" s="1">
        <f>Table1[[#This Row],[Female% (9 - 11)11]]+Table1[[#This Row],[Male% (9 - 11)12]]</f>
        <v>0</v>
      </c>
      <c r="DF223" s="1">
        <f>$CT223*Table1[[#This Row],[Female% (9 - 11)]]</f>
        <v>0</v>
      </c>
      <c r="DG223" s="1">
        <f>$CU223*Table1[[#This Row],[Male% (9 - 11)]]</f>
        <v>0</v>
      </c>
      <c r="DH223" s="1">
        <f>Table1[[#This Row],[Female% (12-14)14]]+Table1[[#This Row],[Male%(12-14)15]]</f>
        <v>0</v>
      </c>
      <c r="DI223" s="1">
        <f>$CT223*Table1[[#This Row],[Female% (12-14)]]</f>
        <v>0</v>
      </c>
      <c r="DJ223" s="1">
        <f>$CU223*Table1[[#This Row],[Male%(12-14)]]</f>
        <v>0</v>
      </c>
      <c r="DK223" s="1">
        <f>Table1[[#This Row],[Female% (15-17)17]]+Table1[[#This Row],[Male%(15-17)18]]</f>
        <v>0</v>
      </c>
      <c r="DL223" s="1">
        <f>$CT223*Table1[[#This Row],[Female% (15-17)]]</f>
        <v>0</v>
      </c>
      <c r="DM223" s="1">
        <f>$CU223*Table1[[#This Row],[Male%(15-17)]]</f>
        <v>0</v>
      </c>
      <c r="DN223" s="1">
        <f>$AF223*Table1[[#This Row],[Total% (18-19)]]</f>
        <v>0</v>
      </c>
      <c r="DO223" s="1">
        <f>$CT223*Table1[[#This Row],[Female% (18-19)]]</f>
        <v>0</v>
      </c>
      <c r="DP223" s="1">
        <f>$CU223*Table1[[#This Row],[Male%(18-19)]]</f>
        <v>0</v>
      </c>
      <c r="DQ223" s="1">
        <f>$AF223*Table1[[#This Row],[Total% (20-24)]]</f>
        <v>0</v>
      </c>
      <c r="DR223" s="1">
        <f>$CT223*Table1[[#This Row],[Female% (20-24)]]</f>
        <v>0</v>
      </c>
      <c r="DS223" s="1">
        <f>$CU223*Table1[[#This Row],[Male% (20-24)]]</f>
        <v>0</v>
      </c>
      <c r="DT223" s="1">
        <f>$AF223*Table1[[#This Row],[Total% (25-29)]]</f>
        <v>0</v>
      </c>
      <c r="DU223" s="1">
        <f>$CT223*Table1[[#This Row],[Female% (25-29)]]</f>
        <v>0</v>
      </c>
      <c r="DV223" s="1">
        <f>$CU223*Table1[[#This Row],[Male% (25-29)]]</f>
        <v>0</v>
      </c>
      <c r="DW223" s="1">
        <f>$AF223*Table1[[#This Row],[Total%   (30-34)]]</f>
        <v>0</v>
      </c>
      <c r="DX223" s="1">
        <f>$CT223*Table1[[#This Row],[Female%   (30-34)]]</f>
        <v>0</v>
      </c>
      <c r="DY223" s="1">
        <f>$CU223*Table1[[#This Row],[Male%  (30-34)]]</f>
        <v>0</v>
      </c>
      <c r="DZ223" s="1">
        <f>$AF223*Table1[[#This Row],[Total% (35-39)]]</f>
        <v>0</v>
      </c>
      <c r="EA223" s="1">
        <f>$CT223*Table1[[#This Row],[Female% (35-39)]]</f>
        <v>0</v>
      </c>
      <c r="EB223" s="1">
        <f>$CU223*Table1[[#This Row],[Male% (35-39)]]</f>
        <v>0</v>
      </c>
      <c r="EC223" s="1">
        <f>$AF223*Table1[[#This Row],[Total% (40-44)]]</f>
        <v>0</v>
      </c>
      <c r="ED223" s="1">
        <f>$CT223*Table1[[#This Row],[Female% (40-44)]]</f>
        <v>0</v>
      </c>
      <c r="EE223" s="1">
        <f>$CU223*Table1[[#This Row],[Male%(55-59)]]</f>
        <v>0</v>
      </c>
      <c r="EF223" s="1">
        <f>$AF223*Table1[[#This Row],[Total% (45-49)]]</f>
        <v>0</v>
      </c>
      <c r="EG223" s="1">
        <f>$CT223*Table1[[#This Row],[Female% (45-49)]]</f>
        <v>0</v>
      </c>
      <c r="EH223" s="1">
        <f>$CU223*Table1[[#This Row],[Male% (45-49)]]</f>
        <v>0</v>
      </c>
      <c r="EI223" s="1">
        <f>$AF223*Table1[[#This Row],[Total% (50-54)]]</f>
        <v>0</v>
      </c>
      <c r="EJ223" s="1">
        <f>$CT223*Table1[[#This Row],[Female%(50-54)]]</f>
        <v>0</v>
      </c>
      <c r="EK223" s="1">
        <f>$CU223*Table1[[#This Row],[Male% (50-54)]]</f>
        <v>0</v>
      </c>
      <c r="EL223" s="1">
        <f>$AF223*Table1[[#This Row],[Total% (55-59)]]</f>
        <v>0</v>
      </c>
      <c r="EM223" s="1">
        <f>$CT223*Table1[[#This Row],[Female% (55-59)]]</f>
        <v>0</v>
      </c>
      <c r="EN223" s="1">
        <f>$CU223*Table1[[#This Row],[Male% (55-59)]]</f>
        <v>0</v>
      </c>
      <c r="EO223" s="1">
        <f>$AF223*Table1[[#This Row],[Total% (60-64)]]</f>
        <v>0</v>
      </c>
      <c r="EP223" s="1">
        <f>$CT223*Table1[[#This Row],[Female%(60-64)]]</f>
        <v>0</v>
      </c>
      <c r="EQ223" s="1">
        <f>$CU223*Table1[[#This Row],[Male%(60-64)]]</f>
        <v>0</v>
      </c>
      <c r="ER223" s="1">
        <f>$AF223*Table1[[#This Row],[Total% (&gt;=65)]]</f>
        <v>0</v>
      </c>
      <c r="ES223" s="1">
        <f>$CT223*Table1[[#This Row],[Female%(&gt;=65)]]</f>
        <v>0</v>
      </c>
      <c r="ET223" s="1">
        <f>$CU223*Table1[[#This Row],[Male% (&gt;=65)]]</f>
        <v>0</v>
      </c>
    </row>
    <row r="224" spans="1:150" hidden="1" x14ac:dyDescent="0.35">
      <c r="A224" t="s">
        <v>6</v>
      </c>
      <c r="B224" t="s">
        <v>7</v>
      </c>
      <c r="C224" t="s">
        <v>70</v>
      </c>
      <c r="D224" t="s">
        <v>71</v>
      </c>
      <c r="E224" t="s">
        <v>99</v>
      </c>
      <c r="F224" t="s">
        <v>100</v>
      </c>
      <c r="H224">
        <v>2</v>
      </c>
      <c r="I224" s="1">
        <v>0</v>
      </c>
      <c r="J224" s="1">
        <v>16922</v>
      </c>
      <c r="K224" s="1">
        <v>3762</v>
      </c>
      <c r="L224" s="1">
        <v>0</v>
      </c>
      <c r="M224" s="1">
        <v>0</v>
      </c>
      <c r="N224" s="1">
        <v>3762</v>
      </c>
      <c r="O224" s="3">
        <v>1</v>
      </c>
      <c r="P224" s="3">
        <v>0</v>
      </c>
      <c r="Q224" s="3">
        <v>0</v>
      </c>
      <c r="R224" s="3">
        <v>0</v>
      </c>
      <c r="S224" s="3">
        <v>0</v>
      </c>
      <c r="T224" s="1">
        <v>20684</v>
      </c>
      <c r="U224" s="1">
        <v>0</v>
      </c>
      <c r="V224" s="10">
        <f>Table1[[#This Row],[Pop NW+RATAA]]*Table1[[#This Row],[Perc_pop_Northern_Aleppo]]</f>
        <v>0</v>
      </c>
      <c r="W224" s="10">
        <f>Table1[[#This Row],[Pop NW+RATAA]]*Table1[[#This Row],[Perc_pop_Afrin District]]</f>
        <v>0</v>
      </c>
      <c r="X224" s="10">
        <f>Table1[[#This Row],[Pop NW+RATAA]]*Table1[[#This Row],[Perc_pop_Euphrates Shiled]]</f>
        <v>0</v>
      </c>
      <c r="Y224" s="10">
        <f>Table1[[#This Row],[Pop NW+RATAA]]*Table1[[#This Row],[Perc_Pop_Idleb_NSAG]]</f>
        <v>0</v>
      </c>
      <c r="Z224" s="3">
        <v>0</v>
      </c>
      <c r="AA224" s="3">
        <v>0</v>
      </c>
      <c r="AB224" s="3">
        <v>0</v>
      </c>
      <c r="AC224" s="3">
        <v>0</v>
      </c>
      <c r="AD224" s="1">
        <v>3762</v>
      </c>
      <c r="AE224" s="1">
        <v>0</v>
      </c>
      <c r="AF224" s="1">
        <v>0</v>
      </c>
      <c r="AG224" s="1">
        <v>0</v>
      </c>
      <c r="AH224" s="1">
        <v>0</v>
      </c>
      <c r="AI224" s="1">
        <f>Table1[[#This Row],[NWS_pin]]*Table1[[#This Row],[Perc_pop_Northern_Aleppo]]</f>
        <v>0</v>
      </c>
      <c r="AJ224" s="1">
        <f>Table1[[#This Row],[NWS_pin]]*Table1[[#This Row],[Perc_pop_Afrin District]]</f>
        <v>0</v>
      </c>
      <c r="AK224" s="1">
        <f>Table1[[#This Row],[NWS_pin]]*Table1[[#This Row],[Perc_pop_Euphrates Shiled]]</f>
        <v>0</v>
      </c>
      <c r="AL224" s="1">
        <f>Table1[[#This Row],[NWS_pin]]*Table1[[#This Row],[Perc_Pop_Idleb_NSAG]]</f>
        <v>0</v>
      </c>
      <c r="AM224" s="4">
        <v>0.495575278137315</v>
      </c>
      <c r="AN224" s="4">
        <v>0.50442472186268505</v>
      </c>
      <c r="AO224" s="4">
        <v>2.6338339736872801E-2</v>
      </c>
      <c r="AP224" s="4">
        <v>0.38700686961589398</v>
      </c>
      <c r="AQ224" s="4">
        <v>0.55930072029217304</v>
      </c>
      <c r="AR224" s="4">
        <v>1.30985645538367E-2</v>
      </c>
      <c r="AS224" s="4">
        <v>0</v>
      </c>
      <c r="AT224" s="4">
        <v>4.0593845538096203E-2</v>
      </c>
      <c r="AU224" s="4">
        <v>4.4279009014325098E-2</v>
      </c>
      <c r="AV224" s="4">
        <v>5.1238036313502301E-2</v>
      </c>
      <c r="AW224" s="4">
        <v>3.7442068357214101E-2</v>
      </c>
      <c r="AX224" s="4">
        <v>5.2136449772402199E-2</v>
      </c>
      <c r="AY224" s="4">
        <v>6.1852947527718603E-2</v>
      </c>
      <c r="AZ224" s="4">
        <v>4.2590414717200702E-2</v>
      </c>
      <c r="BA224" s="4">
        <v>7.2729977020907804E-2</v>
      </c>
      <c r="BB224" s="4">
        <v>5.9834649794133901E-2</v>
      </c>
      <c r="BC224" s="4">
        <v>8.5399073320315197E-2</v>
      </c>
      <c r="BD224" s="4">
        <v>8.6087797763414103E-2</v>
      </c>
      <c r="BE224" s="4">
        <v>6.3771346659105305E-2</v>
      </c>
      <c r="BF224" s="4">
        <v>0.108012737172046</v>
      </c>
      <c r="BG224" s="4">
        <v>6.6726523084607706E-2</v>
      </c>
      <c r="BH224" s="4">
        <v>4.4327301841103797E-2</v>
      </c>
      <c r="BI224" s="4">
        <v>8.8732780543238896E-2</v>
      </c>
      <c r="BJ224" s="4">
        <v>8.3795746546170904E-2</v>
      </c>
      <c r="BK224" s="4">
        <v>0.123164164973099</v>
      </c>
      <c r="BL224" s="4">
        <v>4.5117993323238299E-2</v>
      </c>
      <c r="BM224" s="4">
        <v>7.2400642894505504E-3</v>
      </c>
      <c r="BN224" s="4">
        <v>3.5418595324745398E-3</v>
      </c>
      <c r="BO224" s="4">
        <v>1.08733890882023E-2</v>
      </c>
      <c r="BP224" s="4">
        <v>5.7601824611074999E-2</v>
      </c>
      <c r="BQ224" s="4">
        <v>4.0404443743536501E-2</v>
      </c>
      <c r="BR224" s="4">
        <v>7.4497500887987803E-2</v>
      </c>
      <c r="BS224" s="4">
        <v>9.3297786203143301E-2</v>
      </c>
      <c r="BT224" s="4">
        <v>0.13833693189337101</v>
      </c>
      <c r="BU224" s="4">
        <v>4.9048790892049603E-2</v>
      </c>
      <c r="BV224" s="4">
        <v>9.6529689864410101E-2</v>
      </c>
      <c r="BW224" s="4">
        <v>9.7514009589689199E-2</v>
      </c>
      <c r="BX224" s="4">
        <v>9.5562638686129298E-2</v>
      </c>
      <c r="BY224" s="4">
        <v>9.3541179124759899E-2</v>
      </c>
      <c r="BZ224" s="4">
        <v>9.7224837012475404E-2</v>
      </c>
      <c r="CA224" s="4">
        <v>8.9922145990289096E-2</v>
      </c>
      <c r="CB224" s="4">
        <v>8.3235878531287E-2</v>
      </c>
      <c r="CC224" s="4">
        <v>8.80128308438448E-2</v>
      </c>
      <c r="CD224" s="4">
        <v>7.8542731331437798E-2</v>
      </c>
      <c r="CE224" s="4">
        <v>7.0170172158164401E-2</v>
      </c>
      <c r="CF224" s="4">
        <v>4.7493784807743501E-2</v>
      </c>
      <c r="CG224" s="4">
        <v>9.2448733222412802E-2</v>
      </c>
      <c r="CH224" s="4">
        <v>1.78791996709231E-2</v>
      </c>
      <c r="CI224" s="4">
        <v>1.19636144208029E-2</v>
      </c>
      <c r="CJ224" s="4">
        <v>2.36910040465051E-2</v>
      </c>
      <c r="CK224" s="4">
        <v>2.9879820905101599E-2</v>
      </c>
      <c r="CL224" s="4">
        <v>3.53280667213106E-2</v>
      </c>
      <c r="CM224" s="4">
        <v>2.45271571304994E-2</v>
      </c>
      <c r="CN224" s="4">
        <v>2.9532341254164401E-2</v>
      </c>
      <c r="CO224" s="4">
        <v>1.8289660970380098E-2</v>
      </c>
      <c r="CP224" s="4">
        <v>4.0577784047037602E-2</v>
      </c>
      <c r="CQ224" s="4">
        <v>1.5336540185693E-2</v>
      </c>
      <c r="CR224" s="4">
        <v>1.7701513355707899E-2</v>
      </c>
      <c r="CS224" s="4">
        <v>1.30130572441958E-2</v>
      </c>
      <c r="CT224" s="1">
        <f>Table1[[#This Row],[Female %]]*Table1[[#This Row],[NWS_pin]]</f>
        <v>0</v>
      </c>
      <c r="CU224" s="1">
        <f>Table1[[#This Row],[Male %]]*Table1[[#This Row],[NWS_pin]]</f>
        <v>0</v>
      </c>
      <c r="CV224" s="1">
        <f>Table1[[#This Row],[Female% (0-2)22]]+Table1[[#This Row],[Male%(0-2)3]]</f>
        <v>0</v>
      </c>
      <c r="CW224" s="1">
        <f>$CT224*Table1[[#This Row],[Female% (0-2)]]</f>
        <v>0</v>
      </c>
      <c r="CX224" s="1">
        <f>$CU224*Table1[[#This Row],[Male%(0-2)]]</f>
        <v>0</v>
      </c>
      <c r="CY224" s="1">
        <f>Table1[[#This Row],[Female%  (3-5)5]]+Table1[[#This Row],[Male% (3-5)6]]</f>
        <v>0</v>
      </c>
      <c r="CZ224" s="1">
        <f>$AF224*Table1[[#This Row],[Female%  (3-5)]]</f>
        <v>0</v>
      </c>
      <c r="DA224" s="1">
        <f>$CU224*Table1[[#This Row],[Male% (3-5)]]</f>
        <v>0</v>
      </c>
      <c r="DB224" s="1">
        <f>Table1[[#This Row],[Female% (6-8)8]]+Table1[[#This Row],[Male%(6-8)9]]</f>
        <v>0</v>
      </c>
      <c r="DC224" s="1">
        <f>$CT224*Table1[[#This Row],[Female% (6-8)]]</f>
        <v>0</v>
      </c>
      <c r="DD224" s="1">
        <f>$CU224*Table1[[#This Row],[Male%(6-8)]]</f>
        <v>0</v>
      </c>
      <c r="DE224" s="1">
        <f>Table1[[#This Row],[Female% (9 - 11)11]]+Table1[[#This Row],[Male% (9 - 11)12]]</f>
        <v>0</v>
      </c>
      <c r="DF224" s="1">
        <f>$CT224*Table1[[#This Row],[Female% (9 - 11)]]</f>
        <v>0</v>
      </c>
      <c r="DG224" s="1">
        <f>$CU224*Table1[[#This Row],[Male% (9 - 11)]]</f>
        <v>0</v>
      </c>
      <c r="DH224" s="1">
        <f>Table1[[#This Row],[Female% (12-14)14]]+Table1[[#This Row],[Male%(12-14)15]]</f>
        <v>0</v>
      </c>
      <c r="DI224" s="1">
        <f>$CT224*Table1[[#This Row],[Female% (12-14)]]</f>
        <v>0</v>
      </c>
      <c r="DJ224" s="1">
        <f>$CU224*Table1[[#This Row],[Male%(12-14)]]</f>
        <v>0</v>
      </c>
      <c r="DK224" s="1">
        <f>Table1[[#This Row],[Female% (15-17)17]]+Table1[[#This Row],[Male%(15-17)18]]</f>
        <v>0</v>
      </c>
      <c r="DL224" s="1">
        <f>$CT224*Table1[[#This Row],[Female% (15-17)]]</f>
        <v>0</v>
      </c>
      <c r="DM224" s="1">
        <f>$CU224*Table1[[#This Row],[Male%(15-17)]]</f>
        <v>0</v>
      </c>
      <c r="DN224" s="1">
        <f>$AF224*Table1[[#This Row],[Total% (18-19)]]</f>
        <v>0</v>
      </c>
      <c r="DO224" s="1">
        <f>$CT224*Table1[[#This Row],[Female% (18-19)]]</f>
        <v>0</v>
      </c>
      <c r="DP224" s="1">
        <f>$CU224*Table1[[#This Row],[Male%(18-19)]]</f>
        <v>0</v>
      </c>
      <c r="DQ224" s="1">
        <f>$AF224*Table1[[#This Row],[Total% (20-24)]]</f>
        <v>0</v>
      </c>
      <c r="DR224" s="1">
        <f>$CT224*Table1[[#This Row],[Female% (20-24)]]</f>
        <v>0</v>
      </c>
      <c r="DS224" s="1">
        <f>$CU224*Table1[[#This Row],[Male% (20-24)]]</f>
        <v>0</v>
      </c>
      <c r="DT224" s="1">
        <f>$AF224*Table1[[#This Row],[Total% (25-29)]]</f>
        <v>0</v>
      </c>
      <c r="DU224" s="1">
        <f>$CT224*Table1[[#This Row],[Female% (25-29)]]</f>
        <v>0</v>
      </c>
      <c r="DV224" s="1">
        <f>$CU224*Table1[[#This Row],[Male% (25-29)]]</f>
        <v>0</v>
      </c>
      <c r="DW224" s="1">
        <f>$AF224*Table1[[#This Row],[Total%   (30-34)]]</f>
        <v>0</v>
      </c>
      <c r="DX224" s="1">
        <f>$CT224*Table1[[#This Row],[Female%   (30-34)]]</f>
        <v>0</v>
      </c>
      <c r="DY224" s="1">
        <f>$CU224*Table1[[#This Row],[Male%  (30-34)]]</f>
        <v>0</v>
      </c>
      <c r="DZ224" s="1">
        <f>$AF224*Table1[[#This Row],[Total% (35-39)]]</f>
        <v>0</v>
      </c>
      <c r="EA224" s="1">
        <f>$CT224*Table1[[#This Row],[Female% (35-39)]]</f>
        <v>0</v>
      </c>
      <c r="EB224" s="1">
        <f>$CU224*Table1[[#This Row],[Male% (35-39)]]</f>
        <v>0</v>
      </c>
      <c r="EC224" s="1">
        <f>$AF224*Table1[[#This Row],[Total% (40-44)]]</f>
        <v>0</v>
      </c>
      <c r="ED224" s="1">
        <f>$CT224*Table1[[#This Row],[Female% (40-44)]]</f>
        <v>0</v>
      </c>
      <c r="EE224" s="1">
        <f>$CU224*Table1[[#This Row],[Male%(55-59)]]</f>
        <v>0</v>
      </c>
      <c r="EF224" s="1">
        <f>$AF224*Table1[[#This Row],[Total% (45-49)]]</f>
        <v>0</v>
      </c>
      <c r="EG224" s="1">
        <f>$CT224*Table1[[#This Row],[Female% (45-49)]]</f>
        <v>0</v>
      </c>
      <c r="EH224" s="1">
        <f>$CU224*Table1[[#This Row],[Male% (45-49)]]</f>
        <v>0</v>
      </c>
      <c r="EI224" s="1">
        <f>$AF224*Table1[[#This Row],[Total% (50-54)]]</f>
        <v>0</v>
      </c>
      <c r="EJ224" s="1">
        <f>$CT224*Table1[[#This Row],[Female%(50-54)]]</f>
        <v>0</v>
      </c>
      <c r="EK224" s="1">
        <f>$CU224*Table1[[#This Row],[Male% (50-54)]]</f>
        <v>0</v>
      </c>
      <c r="EL224" s="1">
        <f>$AF224*Table1[[#This Row],[Total% (55-59)]]</f>
        <v>0</v>
      </c>
      <c r="EM224" s="1">
        <f>$CT224*Table1[[#This Row],[Female% (55-59)]]</f>
        <v>0</v>
      </c>
      <c r="EN224" s="1">
        <f>$CU224*Table1[[#This Row],[Male% (55-59)]]</f>
        <v>0</v>
      </c>
      <c r="EO224" s="1">
        <f>$AF224*Table1[[#This Row],[Total% (60-64)]]</f>
        <v>0</v>
      </c>
      <c r="EP224" s="1">
        <f>$CT224*Table1[[#This Row],[Female%(60-64)]]</f>
        <v>0</v>
      </c>
      <c r="EQ224" s="1">
        <f>$CU224*Table1[[#This Row],[Male%(60-64)]]</f>
        <v>0</v>
      </c>
      <c r="ER224" s="1">
        <f>$AF224*Table1[[#This Row],[Total% (&gt;=65)]]</f>
        <v>0</v>
      </c>
      <c r="ES224" s="1">
        <f>$CT224*Table1[[#This Row],[Female%(&gt;=65)]]</f>
        <v>0</v>
      </c>
      <c r="ET224" s="1">
        <f>$CU224*Table1[[#This Row],[Male% (&gt;=65)]]</f>
        <v>0</v>
      </c>
    </row>
    <row r="225" spans="1:150" hidden="1" x14ac:dyDescent="0.35">
      <c r="A225" t="s">
        <v>6</v>
      </c>
      <c r="B225" t="s">
        <v>7</v>
      </c>
      <c r="C225" t="s">
        <v>70</v>
      </c>
      <c r="D225" t="s">
        <v>71</v>
      </c>
      <c r="E225" t="s">
        <v>72</v>
      </c>
      <c r="F225" t="s">
        <v>73</v>
      </c>
      <c r="H225">
        <v>2</v>
      </c>
      <c r="I225" s="1">
        <v>0</v>
      </c>
      <c r="J225" s="1">
        <v>15207</v>
      </c>
      <c r="K225" s="1">
        <v>1485</v>
      </c>
      <c r="L225" s="1">
        <v>0</v>
      </c>
      <c r="M225" s="1">
        <v>0</v>
      </c>
      <c r="N225" s="1">
        <v>1485</v>
      </c>
      <c r="O225" s="3">
        <v>1</v>
      </c>
      <c r="P225" s="3">
        <v>0</v>
      </c>
      <c r="Q225" s="3">
        <v>0</v>
      </c>
      <c r="R225" s="3">
        <v>0</v>
      </c>
      <c r="S225" s="3">
        <v>0</v>
      </c>
      <c r="T225" s="1">
        <v>16692</v>
      </c>
      <c r="U225" s="1">
        <v>0</v>
      </c>
      <c r="V225" s="10">
        <f>Table1[[#This Row],[Pop NW+RATAA]]*Table1[[#This Row],[Perc_pop_Northern_Aleppo]]</f>
        <v>0</v>
      </c>
      <c r="W225" s="10">
        <f>Table1[[#This Row],[Pop NW+RATAA]]*Table1[[#This Row],[Perc_pop_Afrin District]]</f>
        <v>0</v>
      </c>
      <c r="X225" s="10">
        <f>Table1[[#This Row],[Pop NW+RATAA]]*Table1[[#This Row],[Perc_pop_Euphrates Shiled]]</f>
        <v>0</v>
      </c>
      <c r="Y225" s="10">
        <f>Table1[[#This Row],[Pop NW+RATAA]]*Table1[[#This Row],[Perc_Pop_Idleb_NSAG]]</f>
        <v>0</v>
      </c>
      <c r="Z225" s="3">
        <v>0</v>
      </c>
      <c r="AA225" s="3">
        <v>0</v>
      </c>
      <c r="AB225" s="3">
        <v>0</v>
      </c>
      <c r="AC225" s="3">
        <v>0</v>
      </c>
      <c r="AD225" s="1">
        <v>1485</v>
      </c>
      <c r="AE225" s="1">
        <v>0</v>
      </c>
      <c r="AF225" s="1">
        <v>0</v>
      </c>
      <c r="AG225" s="1">
        <v>0</v>
      </c>
      <c r="AH225" s="1">
        <v>0</v>
      </c>
      <c r="AI225" s="1">
        <f>Table1[[#This Row],[NWS_pin]]*Table1[[#This Row],[Perc_pop_Northern_Aleppo]]</f>
        <v>0</v>
      </c>
      <c r="AJ225" s="1">
        <f>Table1[[#This Row],[NWS_pin]]*Table1[[#This Row],[Perc_pop_Afrin District]]</f>
        <v>0</v>
      </c>
      <c r="AK225" s="1">
        <f>Table1[[#This Row],[NWS_pin]]*Table1[[#This Row],[Perc_pop_Euphrates Shiled]]</f>
        <v>0</v>
      </c>
      <c r="AL225" s="1">
        <f>Table1[[#This Row],[NWS_pin]]*Table1[[#This Row],[Perc_Pop_Idleb_NSAG]]</f>
        <v>0</v>
      </c>
      <c r="AM225" s="4">
        <v>0.50275181681206405</v>
      </c>
      <c r="AN225" s="4">
        <v>0.49724818318793601</v>
      </c>
      <c r="AO225" s="4">
        <v>5.5659096162736899E-2</v>
      </c>
      <c r="AP225" s="4">
        <v>0.37940557065040098</v>
      </c>
      <c r="AQ225" s="4">
        <v>0.54981407079573397</v>
      </c>
      <c r="AR225" s="4">
        <v>5.7207736959778901E-3</v>
      </c>
      <c r="AS225" s="4">
        <v>0</v>
      </c>
      <c r="AT225" s="4">
        <v>6.5059584857886696E-2</v>
      </c>
      <c r="AU225" s="4">
        <v>3.2788316024302502E-2</v>
      </c>
      <c r="AV225" s="4">
        <v>3.1266003177846599E-2</v>
      </c>
      <c r="AW225" s="4">
        <v>3.4327478107118503E-2</v>
      </c>
      <c r="AX225" s="4">
        <v>6.6232555169495499E-2</v>
      </c>
      <c r="AY225" s="4">
        <v>4.4471540345714503E-2</v>
      </c>
      <c r="AZ225" s="4">
        <v>8.8234424876066406E-2</v>
      </c>
      <c r="BA225" s="4">
        <v>9.2196218769226498E-2</v>
      </c>
      <c r="BB225" s="4">
        <v>8.6356089929725405E-2</v>
      </c>
      <c r="BC225" s="4">
        <v>9.8100987220368197E-2</v>
      </c>
      <c r="BD225" s="4">
        <v>5.1380804727688897E-2</v>
      </c>
      <c r="BE225" s="4">
        <v>6.2854808877338894E-2</v>
      </c>
      <c r="BF225" s="4">
        <v>3.9779804206455299E-2</v>
      </c>
      <c r="BG225" s="4">
        <v>9.7240819398785802E-2</v>
      </c>
      <c r="BH225" s="4">
        <v>0.10892464713889401</v>
      </c>
      <c r="BI225" s="4">
        <v>8.5427672921308706E-2</v>
      </c>
      <c r="BJ225" s="4">
        <v>6.4944490196192903E-2</v>
      </c>
      <c r="BK225" s="4">
        <v>5.3904798360467403E-2</v>
      </c>
      <c r="BL225" s="4">
        <v>7.6106371355562696E-2</v>
      </c>
      <c r="BM225" s="4">
        <v>1.07756137681537E-2</v>
      </c>
      <c r="BN225" s="4">
        <v>6.5261679295672203E-3</v>
      </c>
      <c r="BO225" s="4">
        <v>1.5072093248675599E-2</v>
      </c>
      <c r="BP225" s="4">
        <v>3.26583480985786E-2</v>
      </c>
      <c r="BQ225" s="4">
        <v>1.7714464174846099E-2</v>
      </c>
      <c r="BR225" s="4">
        <v>4.7767633656381203E-2</v>
      </c>
      <c r="BS225" s="4">
        <v>6.2172855660397298E-2</v>
      </c>
      <c r="BT225" s="4">
        <v>0.102122256029852</v>
      </c>
      <c r="BU225" s="4">
        <v>2.1781288038107801E-2</v>
      </c>
      <c r="BV225" s="4">
        <v>0.108812450748603</v>
      </c>
      <c r="BW225" s="4">
        <v>0.126322965135204</v>
      </c>
      <c r="BX225" s="4">
        <v>9.1108126793637001E-2</v>
      </c>
      <c r="BY225" s="4">
        <v>0.13576990032029501</v>
      </c>
      <c r="BZ225" s="4">
        <v>0.135365125343233</v>
      </c>
      <c r="CA225" s="4">
        <v>0.136179155420662</v>
      </c>
      <c r="CB225" s="4">
        <v>9.7796684782148299E-2</v>
      </c>
      <c r="CC225" s="4">
        <v>8.0046132674441703E-2</v>
      </c>
      <c r="CD225" s="4">
        <v>0.11574370323951599</v>
      </c>
      <c r="CE225" s="4">
        <v>5.0019101862880402E-2</v>
      </c>
      <c r="CF225" s="4">
        <v>4.0163056612032497E-2</v>
      </c>
      <c r="CG225" s="4">
        <v>5.9984235620991901E-2</v>
      </c>
      <c r="CH225" s="4">
        <v>2.5415017394813E-2</v>
      </c>
      <c r="CI225" s="4">
        <v>2.0849993329350301E-2</v>
      </c>
      <c r="CJ225" s="4">
        <v>3.00305679796097E-2</v>
      </c>
      <c r="CK225" s="4">
        <v>2.8551135265591301E-2</v>
      </c>
      <c r="CL225" s="4">
        <v>4.6753476324133E-2</v>
      </c>
      <c r="CM225" s="4">
        <v>1.01473273748425E-2</v>
      </c>
      <c r="CN225" s="4">
        <v>2.7697712533465198E-2</v>
      </c>
      <c r="CO225" s="4">
        <v>2.13254776035364E-2</v>
      </c>
      <c r="CP225" s="4">
        <v>3.4140476522336601E-2</v>
      </c>
      <c r="CQ225" s="4">
        <v>1.55479752793828E-2</v>
      </c>
      <c r="CR225" s="4">
        <v>1.50329970138169E-2</v>
      </c>
      <c r="CS225" s="4">
        <v>1.60686534183597E-2</v>
      </c>
      <c r="CT225" s="1">
        <f>Table1[[#This Row],[Female %]]*Table1[[#This Row],[NWS_pin]]</f>
        <v>0</v>
      </c>
      <c r="CU225" s="1">
        <f>Table1[[#This Row],[Male %]]*Table1[[#This Row],[NWS_pin]]</f>
        <v>0</v>
      </c>
      <c r="CV225" s="1">
        <f>Table1[[#This Row],[Female% (0-2)22]]+Table1[[#This Row],[Male%(0-2)3]]</f>
        <v>0</v>
      </c>
      <c r="CW225" s="1">
        <f>$CT225*Table1[[#This Row],[Female% (0-2)]]</f>
        <v>0</v>
      </c>
      <c r="CX225" s="1">
        <f>$CU225*Table1[[#This Row],[Male%(0-2)]]</f>
        <v>0</v>
      </c>
      <c r="CY225" s="1">
        <f>Table1[[#This Row],[Female%  (3-5)5]]+Table1[[#This Row],[Male% (3-5)6]]</f>
        <v>0</v>
      </c>
      <c r="CZ225" s="1">
        <f>$AF225*Table1[[#This Row],[Female%  (3-5)]]</f>
        <v>0</v>
      </c>
      <c r="DA225" s="1">
        <f>$CU225*Table1[[#This Row],[Male% (3-5)]]</f>
        <v>0</v>
      </c>
      <c r="DB225" s="1">
        <f>Table1[[#This Row],[Female% (6-8)8]]+Table1[[#This Row],[Male%(6-8)9]]</f>
        <v>0</v>
      </c>
      <c r="DC225" s="1">
        <f>$CT225*Table1[[#This Row],[Female% (6-8)]]</f>
        <v>0</v>
      </c>
      <c r="DD225" s="1">
        <f>$CU225*Table1[[#This Row],[Male%(6-8)]]</f>
        <v>0</v>
      </c>
      <c r="DE225" s="1">
        <f>Table1[[#This Row],[Female% (9 - 11)11]]+Table1[[#This Row],[Male% (9 - 11)12]]</f>
        <v>0</v>
      </c>
      <c r="DF225" s="1">
        <f>$CT225*Table1[[#This Row],[Female% (9 - 11)]]</f>
        <v>0</v>
      </c>
      <c r="DG225" s="1">
        <f>$CU225*Table1[[#This Row],[Male% (9 - 11)]]</f>
        <v>0</v>
      </c>
      <c r="DH225" s="1">
        <f>Table1[[#This Row],[Female% (12-14)14]]+Table1[[#This Row],[Male%(12-14)15]]</f>
        <v>0</v>
      </c>
      <c r="DI225" s="1">
        <f>$CT225*Table1[[#This Row],[Female% (12-14)]]</f>
        <v>0</v>
      </c>
      <c r="DJ225" s="1">
        <f>$CU225*Table1[[#This Row],[Male%(12-14)]]</f>
        <v>0</v>
      </c>
      <c r="DK225" s="1">
        <f>Table1[[#This Row],[Female% (15-17)17]]+Table1[[#This Row],[Male%(15-17)18]]</f>
        <v>0</v>
      </c>
      <c r="DL225" s="1">
        <f>$CT225*Table1[[#This Row],[Female% (15-17)]]</f>
        <v>0</v>
      </c>
      <c r="DM225" s="1">
        <f>$CU225*Table1[[#This Row],[Male%(15-17)]]</f>
        <v>0</v>
      </c>
      <c r="DN225" s="1">
        <f>$AF225*Table1[[#This Row],[Total% (18-19)]]</f>
        <v>0</v>
      </c>
      <c r="DO225" s="1">
        <f>$CT225*Table1[[#This Row],[Female% (18-19)]]</f>
        <v>0</v>
      </c>
      <c r="DP225" s="1">
        <f>$CU225*Table1[[#This Row],[Male%(18-19)]]</f>
        <v>0</v>
      </c>
      <c r="DQ225" s="1">
        <f>$AF225*Table1[[#This Row],[Total% (20-24)]]</f>
        <v>0</v>
      </c>
      <c r="DR225" s="1">
        <f>$CT225*Table1[[#This Row],[Female% (20-24)]]</f>
        <v>0</v>
      </c>
      <c r="DS225" s="1">
        <f>$CU225*Table1[[#This Row],[Male% (20-24)]]</f>
        <v>0</v>
      </c>
      <c r="DT225" s="1">
        <f>$AF225*Table1[[#This Row],[Total% (25-29)]]</f>
        <v>0</v>
      </c>
      <c r="DU225" s="1">
        <f>$CT225*Table1[[#This Row],[Female% (25-29)]]</f>
        <v>0</v>
      </c>
      <c r="DV225" s="1">
        <f>$CU225*Table1[[#This Row],[Male% (25-29)]]</f>
        <v>0</v>
      </c>
      <c r="DW225" s="1">
        <f>$AF225*Table1[[#This Row],[Total%   (30-34)]]</f>
        <v>0</v>
      </c>
      <c r="DX225" s="1">
        <f>$CT225*Table1[[#This Row],[Female%   (30-34)]]</f>
        <v>0</v>
      </c>
      <c r="DY225" s="1">
        <f>$CU225*Table1[[#This Row],[Male%  (30-34)]]</f>
        <v>0</v>
      </c>
      <c r="DZ225" s="1">
        <f>$AF225*Table1[[#This Row],[Total% (35-39)]]</f>
        <v>0</v>
      </c>
      <c r="EA225" s="1">
        <f>$CT225*Table1[[#This Row],[Female% (35-39)]]</f>
        <v>0</v>
      </c>
      <c r="EB225" s="1">
        <f>$CU225*Table1[[#This Row],[Male% (35-39)]]</f>
        <v>0</v>
      </c>
      <c r="EC225" s="1">
        <f>$AF225*Table1[[#This Row],[Total% (40-44)]]</f>
        <v>0</v>
      </c>
      <c r="ED225" s="1">
        <f>$CT225*Table1[[#This Row],[Female% (40-44)]]</f>
        <v>0</v>
      </c>
      <c r="EE225" s="1">
        <f>$CU225*Table1[[#This Row],[Male%(55-59)]]</f>
        <v>0</v>
      </c>
      <c r="EF225" s="1">
        <f>$AF225*Table1[[#This Row],[Total% (45-49)]]</f>
        <v>0</v>
      </c>
      <c r="EG225" s="1">
        <f>$CT225*Table1[[#This Row],[Female% (45-49)]]</f>
        <v>0</v>
      </c>
      <c r="EH225" s="1">
        <f>$CU225*Table1[[#This Row],[Male% (45-49)]]</f>
        <v>0</v>
      </c>
      <c r="EI225" s="1">
        <f>$AF225*Table1[[#This Row],[Total% (50-54)]]</f>
        <v>0</v>
      </c>
      <c r="EJ225" s="1">
        <f>$CT225*Table1[[#This Row],[Female%(50-54)]]</f>
        <v>0</v>
      </c>
      <c r="EK225" s="1">
        <f>$CU225*Table1[[#This Row],[Male% (50-54)]]</f>
        <v>0</v>
      </c>
      <c r="EL225" s="1">
        <f>$AF225*Table1[[#This Row],[Total% (55-59)]]</f>
        <v>0</v>
      </c>
      <c r="EM225" s="1">
        <f>$CT225*Table1[[#This Row],[Female% (55-59)]]</f>
        <v>0</v>
      </c>
      <c r="EN225" s="1">
        <f>$CU225*Table1[[#This Row],[Male% (55-59)]]</f>
        <v>0</v>
      </c>
      <c r="EO225" s="1">
        <f>$AF225*Table1[[#This Row],[Total% (60-64)]]</f>
        <v>0</v>
      </c>
      <c r="EP225" s="1">
        <f>$CT225*Table1[[#This Row],[Female%(60-64)]]</f>
        <v>0</v>
      </c>
      <c r="EQ225" s="1">
        <f>$CU225*Table1[[#This Row],[Male%(60-64)]]</f>
        <v>0</v>
      </c>
      <c r="ER225" s="1">
        <f>$AF225*Table1[[#This Row],[Total% (&gt;=65)]]</f>
        <v>0</v>
      </c>
      <c r="ES225" s="1">
        <f>$CT225*Table1[[#This Row],[Female%(&gt;=65)]]</f>
        <v>0</v>
      </c>
      <c r="ET225" s="1">
        <f>$CU225*Table1[[#This Row],[Male% (&gt;=65)]]</f>
        <v>0</v>
      </c>
    </row>
    <row r="226" spans="1:150" hidden="1" x14ac:dyDescent="0.35">
      <c r="A226" t="s">
        <v>6</v>
      </c>
      <c r="B226" t="s">
        <v>7</v>
      </c>
      <c r="C226" t="s">
        <v>66</v>
      </c>
      <c r="D226" t="s">
        <v>67</v>
      </c>
      <c r="E226" t="s">
        <v>68</v>
      </c>
      <c r="F226" t="s">
        <v>69</v>
      </c>
      <c r="H226">
        <v>2</v>
      </c>
      <c r="I226" s="1">
        <v>0</v>
      </c>
      <c r="J226" s="1">
        <v>18793</v>
      </c>
      <c r="K226" s="1">
        <v>1281</v>
      </c>
      <c r="L226" s="1">
        <v>0</v>
      </c>
      <c r="M226" s="1">
        <v>0</v>
      </c>
      <c r="N226" s="1">
        <v>1281</v>
      </c>
      <c r="O226" s="3">
        <v>1</v>
      </c>
      <c r="P226" s="3">
        <v>0</v>
      </c>
      <c r="Q226" s="3">
        <v>0</v>
      </c>
      <c r="R226" s="3">
        <v>0</v>
      </c>
      <c r="S226" s="3">
        <v>0</v>
      </c>
      <c r="T226" s="1">
        <v>20074</v>
      </c>
      <c r="U226" s="1">
        <v>0</v>
      </c>
      <c r="V226" s="10">
        <f>Table1[[#This Row],[Pop NW+RATAA]]*Table1[[#This Row],[Perc_pop_Northern_Aleppo]]</f>
        <v>0</v>
      </c>
      <c r="W226" s="10">
        <f>Table1[[#This Row],[Pop NW+RATAA]]*Table1[[#This Row],[Perc_pop_Afrin District]]</f>
        <v>0</v>
      </c>
      <c r="X226" s="10">
        <f>Table1[[#This Row],[Pop NW+RATAA]]*Table1[[#This Row],[Perc_pop_Euphrates Shiled]]</f>
        <v>0</v>
      </c>
      <c r="Y226" s="10">
        <f>Table1[[#This Row],[Pop NW+RATAA]]*Table1[[#This Row],[Perc_Pop_Idleb_NSAG]]</f>
        <v>0</v>
      </c>
      <c r="Z226" s="3">
        <v>0</v>
      </c>
      <c r="AA226" s="3">
        <v>0</v>
      </c>
      <c r="AB226" s="3">
        <v>0</v>
      </c>
      <c r="AC226" s="3">
        <v>0</v>
      </c>
      <c r="AD226" s="1">
        <v>1281</v>
      </c>
      <c r="AE226" s="1">
        <v>0</v>
      </c>
      <c r="AF226" s="1">
        <v>0</v>
      </c>
      <c r="AG226" s="1">
        <v>0</v>
      </c>
      <c r="AH226" s="1">
        <v>0</v>
      </c>
      <c r="AI226" s="1">
        <f>Table1[[#This Row],[NWS_pin]]*Table1[[#This Row],[Perc_pop_Northern_Aleppo]]</f>
        <v>0</v>
      </c>
      <c r="AJ226" s="1">
        <f>Table1[[#This Row],[NWS_pin]]*Table1[[#This Row],[Perc_pop_Afrin District]]</f>
        <v>0</v>
      </c>
      <c r="AK226" s="1">
        <f>Table1[[#This Row],[NWS_pin]]*Table1[[#This Row],[Perc_pop_Euphrates Shiled]]</f>
        <v>0</v>
      </c>
      <c r="AL226" s="1">
        <f>Table1[[#This Row],[NWS_pin]]*Table1[[#This Row],[Perc_Pop_Idleb_NSAG]]</f>
        <v>0</v>
      </c>
      <c r="AM226" s="4">
        <v>0.50109122164276598</v>
      </c>
      <c r="AN226" s="4">
        <v>0.49890877835723402</v>
      </c>
      <c r="AO226" s="4">
        <v>0.13159874195785801</v>
      </c>
      <c r="AP226" s="4">
        <v>0.38531836274539599</v>
      </c>
      <c r="AQ226" s="4">
        <v>0.57086546110072101</v>
      </c>
      <c r="AR226" s="4">
        <v>6.4499608993891303E-3</v>
      </c>
      <c r="AS226" s="4">
        <v>0</v>
      </c>
      <c r="AT226" s="4">
        <v>3.7366215254493802E-2</v>
      </c>
      <c r="AU226" s="4">
        <v>5.4124229396424597E-2</v>
      </c>
      <c r="AV226" s="4">
        <v>4.6703292138203498E-2</v>
      </c>
      <c r="AW226" s="4">
        <v>6.1577629051368502E-2</v>
      </c>
      <c r="AX226" s="4">
        <v>6.0418879525860399E-2</v>
      </c>
      <c r="AY226" s="4">
        <v>6.8233061889659399E-2</v>
      </c>
      <c r="AZ226" s="4">
        <v>5.2570514540765501E-2</v>
      </c>
      <c r="BA226" s="4">
        <v>7.0005337596989098E-2</v>
      </c>
      <c r="BB226" s="4">
        <v>8.0837727020377906E-2</v>
      </c>
      <c r="BC226" s="4">
        <v>5.9125562606160101E-2</v>
      </c>
      <c r="BD226" s="4">
        <v>5.5910612128128902E-2</v>
      </c>
      <c r="BE226" s="4">
        <v>4.7328056466835397E-2</v>
      </c>
      <c r="BF226" s="4">
        <v>6.4530711608629998E-2</v>
      </c>
      <c r="BG226" s="4">
        <v>4.3486554108690498E-2</v>
      </c>
      <c r="BH226" s="4">
        <v>5.1872610113531802E-2</v>
      </c>
      <c r="BI226" s="4">
        <v>3.5063813859326297E-2</v>
      </c>
      <c r="BJ226" s="4">
        <v>4.9300065400563198E-2</v>
      </c>
      <c r="BK226" s="4">
        <v>3.6086371330658097E-2</v>
      </c>
      <c r="BL226" s="4">
        <v>6.2571561896785505E-2</v>
      </c>
      <c r="BM226" s="4">
        <v>1.0264863913726E-2</v>
      </c>
      <c r="BN226" s="4">
        <v>9.1952765014683292E-3</v>
      </c>
      <c r="BO226" s="4">
        <v>1.1339130165016699E-2</v>
      </c>
      <c r="BP226" s="4">
        <v>6.9738208765797893E-2</v>
      </c>
      <c r="BQ226" s="4">
        <v>7.3539567359418204E-2</v>
      </c>
      <c r="BR226" s="4">
        <v>6.5920221381708499E-2</v>
      </c>
      <c r="BS226" s="4">
        <v>0.108502077303605</v>
      </c>
      <c r="BT226" s="4">
        <v>0.13353347839160901</v>
      </c>
      <c r="BU226" s="4">
        <v>8.3361178015524298E-2</v>
      </c>
      <c r="BV226" s="4">
        <v>9.2052539717790996E-2</v>
      </c>
      <c r="BW226" s="4">
        <v>0.104096717362776</v>
      </c>
      <c r="BX226" s="4">
        <v>7.9955675618345406E-2</v>
      </c>
      <c r="BY226" s="4">
        <v>8.8846854966791705E-2</v>
      </c>
      <c r="BZ226" s="4">
        <v>8.0941680636570798E-2</v>
      </c>
      <c r="CA226" s="4">
        <v>9.6786609956616906E-2</v>
      </c>
      <c r="CB226" s="4">
        <v>5.6310068629570699E-2</v>
      </c>
      <c r="CC226" s="4">
        <v>3.8667030849151997E-2</v>
      </c>
      <c r="CD226" s="4">
        <v>7.4030284705923599E-2</v>
      </c>
      <c r="CE226" s="4">
        <v>4.8604908393292699E-2</v>
      </c>
      <c r="CF226" s="4">
        <v>5.2968464666180499E-2</v>
      </c>
      <c r="CG226" s="4">
        <v>4.4222264033560298E-2</v>
      </c>
      <c r="CH226" s="4">
        <v>6.1308087183934497E-2</v>
      </c>
      <c r="CI226" s="4">
        <v>7.3713898600114097E-2</v>
      </c>
      <c r="CJ226" s="4">
        <v>4.8848007370401902E-2</v>
      </c>
      <c r="CK226" s="4">
        <v>3.2298114893969103E-2</v>
      </c>
      <c r="CL226" s="4">
        <v>2.0139713920821201E-2</v>
      </c>
      <c r="CM226" s="4">
        <v>4.4509701983933801E-2</v>
      </c>
      <c r="CN226" s="4">
        <v>3.0515242396577401E-2</v>
      </c>
      <c r="CO226" s="4">
        <v>5.9071589455516101E-3</v>
      </c>
      <c r="CP226" s="4">
        <v>5.5230972272816099E-2</v>
      </c>
      <c r="CQ226" s="4">
        <v>6.8313355678287696E-2</v>
      </c>
      <c r="CR226" s="4">
        <v>7.6235893807072103E-2</v>
      </c>
      <c r="CS226" s="4">
        <v>6.03561609331165E-2</v>
      </c>
      <c r="CT226" s="1">
        <f>Table1[[#This Row],[Female %]]*Table1[[#This Row],[NWS_pin]]</f>
        <v>0</v>
      </c>
      <c r="CU226" s="1">
        <f>Table1[[#This Row],[Male %]]*Table1[[#This Row],[NWS_pin]]</f>
        <v>0</v>
      </c>
      <c r="CV226" s="1">
        <f>Table1[[#This Row],[Female% (0-2)22]]+Table1[[#This Row],[Male%(0-2)3]]</f>
        <v>0</v>
      </c>
      <c r="CW226" s="1">
        <f>$CT226*Table1[[#This Row],[Female% (0-2)]]</f>
        <v>0</v>
      </c>
      <c r="CX226" s="1">
        <f>$CU226*Table1[[#This Row],[Male%(0-2)]]</f>
        <v>0</v>
      </c>
      <c r="CY226" s="1">
        <f>Table1[[#This Row],[Female%  (3-5)5]]+Table1[[#This Row],[Male% (3-5)6]]</f>
        <v>0</v>
      </c>
      <c r="CZ226" s="1">
        <f>$AF226*Table1[[#This Row],[Female%  (3-5)]]</f>
        <v>0</v>
      </c>
      <c r="DA226" s="1">
        <f>$CU226*Table1[[#This Row],[Male% (3-5)]]</f>
        <v>0</v>
      </c>
      <c r="DB226" s="1">
        <f>Table1[[#This Row],[Female% (6-8)8]]+Table1[[#This Row],[Male%(6-8)9]]</f>
        <v>0</v>
      </c>
      <c r="DC226" s="1">
        <f>$CT226*Table1[[#This Row],[Female% (6-8)]]</f>
        <v>0</v>
      </c>
      <c r="DD226" s="1">
        <f>$CU226*Table1[[#This Row],[Male%(6-8)]]</f>
        <v>0</v>
      </c>
      <c r="DE226" s="1">
        <f>Table1[[#This Row],[Female% (9 - 11)11]]+Table1[[#This Row],[Male% (9 - 11)12]]</f>
        <v>0</v>
      </c>
      <c r="DF226" s="1">
        <f>$CT226*Table1[[#This Row],[Female% (9 - 11)]]</f>
        <v>0</v>
      </c>
      <c r="DG226" s="1">
        <f>$CU226*Table1[[#This Row],[Male% (9 - 11)]]</f>
        <v>0</v>
      </c>
      <c r="DH226" s="1">
        <f>Table1[[#This Row],[Female% (12-14)14]]+Table1[[#This Row],[Male%(12-14)15]]</f>
        <v>0</v>
      </c>
      <c r="DI226" s="1">
        <f>$CT226*Table1[[#This Row],[Female% (12-14)]]</f>
        <v>0</v>
      </c>
      <c r="DJ226" s="1">
        <f>$CU226*Table1[[#This Row],[Male%(12-14)]]</f>
        <v>0</v>
      </c>
      <c r="DK226" s="1">
        <f>Table1[[#This Row],[Female% (15-17)17]]+Table1[[#This Row],[Male%(15-17)18]]</f>
        <v>0</v>
      </c>
      <c r="DL226" s="1">
        <f>$CT226*Table1[[#This Row],[Female% (15-17)]]</f>
        <v>0</v>
      </c>
      <c r="DM226" s="1">
        <f>$CU226*Table1[[#This Row],[Male%(15-17)]]</f>
        <v>0</v>
      </c>
      <c r="DN226" s="1">
        <f>$AF226*Table1[[#This Row],[Total% (18-19)]]</f>
        <v>0</v>
      </c>
      <c r="DO226" s="1">
        <f>$CT226*Table1[[#This Row],[Female% (18-19)]]</f>
        <v>0</v>
      </c>
      <c r="DP226" s="1">
        <f>$CU226*Table1[[#This Row],[Male%(18-19)]]</f>
        <v>0</v>
      </c>
      <c r="DQ226" s="1">
        <f>$AF226*Table1[[#This Row],[Total% (20-24)]]</f>
        <v>0</v>
      </c>
      <c r="DR226" s="1">
        <f>$CT226*Table1[[#This Row],[Female% (20-24)]]</f>
        <v>0</v>
      </c>
      <c r="DS226" s="1">
        <f>$CU226*Table1[[#This Row],[Male% (20-24)]]</f>
        <v>0</v>
      </c>
      <c r="DT226" s="1">
        <f>$AF226*Table1[[#This Row],[Total% (25-29)]]</f>
        <v>0</v>
      </c>
      <c r="DU226" s="1">
        <f>$CT226*Table1[[#This Row],[Female% (25-29)]]</f>
        <v>0</v>
      </c>
      <c r="DV226" s="1">
        <f>$CU226*Table1[[#This Row],[Male% (25-29)]]</f>
        <v>0</v>
      </c>
      <c r="DW226" s="1">
        <f>$AF226*Table1[[#This Row],[Total%   (30-34)]]</f>
        <v>0</v>
      </c>
      <c r="DX226" s="1">
        <f>$CT226*Table1[[#This Row],[Female%   (30-34)]]</f>
        <v>0</v>
      </c>
      <c r="DY226" s="1">
        <f>$CU226*Table1[[#This Row],[Male%  (30-34)]]</f>
        <v>0</v>
      </c>
      <c r="DZ226" s="1">
        <f>$AF226*Table1[[#This Row],[Total% (35-39)]]</f>
        <v>0</v>
      </c>
      <c r="EA226" s="1">
        <f>$CT226*Table1[[#This Row],[Female% (35-39)]]</f>
        <v>0</v>
      </c>
      <c r="EB226" s="1">
        <f>$CU226*Table1[[#This Row],[Male% (35-39)]]</f>
        <v>0</v>
      </c>
      <c r="EC226" s="1">
        <f>$AF226*Table1[[#This Row],[Total% (40-44)]]</f>
        <v>0</v>
      </c>
      <c r="ED226" s="1">
        <f>$CT226*Table1[[#This Row],[Female% (40-44)]]</f>
        <v>0</v>
      </c>
      <c r="EE226" s="1">
        <f>$CU226*Table1[[#This Row],[Male%(55-59)]]</f>
        <v>0</v>
      </c>
      <c r="EF226" s="1">
        <f>$AF226*Table1[[#This Row],[Total% (45-49)]]</f>
        <v>0</v>
      </c>
      <c r="EG226" s="1">
        <f>$CT226*Table1[[#This Row],[Female% (45-49)]]</f>
        <v>0</v>
      </c>
      <c r="EH226" s="1">
        <f>$CU226*Table1[[#This Row],[Male% (45-49)]]</f>
        <v>0</v>
      </c>
      <c r="EI226" s="1">
        <f>$AF226*Table1[[#This Row],[Total% (50-54)]]</f>
        <v>0</v>
      </c>
      <c r="EJ226" s="1">
        <f>$CT226*Table1[[#This Row],[Female%(50-54)]]</f>
        <v>0</v>
      </c>
      <c r="EK226" s="1">
        <f>$CU226*Table1[[#This Row],[Male% (50-54)]]</f>
        <v>0</v>
      </c>
      <c r="EL226" s="1">
        <f>$AF226*Table1[[#This Row],[Total% (55-59)]]</f>
        <v>0</v>
      </c>
      <c r="EM226" s="1">
        <f>$CT226*Table1[[#This Row],[Female% (55-59)]]</f>
        <v>0</v>
      </c>
      <c r="EN226" s="1">
        <f>$CU226*Table1[[#This Row],[Male% (55-59)]]</f>
        <v>0</v>
      </c>
      <c r="EO226" s="1">
        <f>$AF226*Table1[[#This Row],[Total% (60-64)]]</f>
        <v>0</v>
      </c>
      <c r="EP226" s="1">
        <f>$CT226*Table1[[#This Row],[Female%(60-64)]]</f>
        <v>0</v>
      </c>
      <c r="EQ226" s="1">
        <f>$CU226*Table1[[#This Row],[Male%(60-64)]]</f>
        <v>0</v>
      </c>
      <c r="ER226" s="1">
        <f>$AF226*Table1[[#This Row],[Total% (&gt;=65)]]</f>
        <v>0</v>
      </c>
      <c r="ES226" s="1">
        <f>$CT226*Table1[[#This Row],[Female%(&gt;=65)]]</f>
        <v>0</v>
      </c>
      <c r="ET226" s="1">
        <f>$CU226*Table1[[#This Row],[Male% (&gt;=65)]]</f>
        <v>0</v>
      </c>
    </row>
    <row r="227" spans="1:150" hidden="1" x14ac:dyDescent="0.35">
      <c r="A227" t="s">
        <v>6</v>
      </c>
      <c r="B227" t="s">
        <v>7</v>
      </c>
      <c r="C227" t="s">
        <v>66</v>
      </c>
      <c r="D227" t="s">
        <v>67</v>
      </c>
      <c r="E227" t="s">
        <v>66</v>
      </c>
      <c r="F227" t="s">
        <v>156</v>
      </c>
      <c r="H227">
        <v>3</v>
      </c>
      <c r="I227" s="1">
        <v>0</v>
      </c>
      <c r="J227" s="1">
        <v>16508</v>
      </c>
      <c r="K227" s="1">
        <v>9861</v>
      </c>
      <c r="L227" s="1">
        <v>0</v>
      </c>
      <c r="M227" s="1">
        <v>0</v>
      </c>
      <c r="N227" s="1">
        <v>9861</v>
      </c>
      <c r="O227" s="3">
        <v>1</v>
      </c>
      <c r="P227" s="3">
        <v>0</v>
      </c>
      <c r="Q227" s="3">
        <v>0</v>
      </c>
      <c r="R227" s="3">
        <v>0</v>
      </c>
      <c r="S227" s="3">
        <v>0</v>
      </c>
      <c r="T227" s="1">
        <v>26369</v>
      </c>
      <c r="U227" s="1">
        <v>0</v>
      </c>
      <c r="V227" s="10">
        <f>Table1[[#This Row],[Pop NW+RATAA]]*Table1[[#This Row],[Perc_pop_Northern_Aleppo]]</f>
        <v>0</v>
      </c>
      <c r="W227" s="10">
        <f>Table1[[#This Row],[Pop NW+RATAA]]*Table1[[#This Row],[Perc_pop_Afrin District]]</f>
        <v>0</v>
      </c>
      <c r="X227" s="10">
        <f>Table1[[#This Row],[Pop NW+RATAA]]*Table1[[#This Row],[Perc_pop_Euphrates Shiled]]</f>
        <v>0</v>
      </c>
      <c r="Y227" s="10">
        <f>Table1[[#This Row],[Pop NW+RATAA]]*Table1[[#This Row],[Perc_Pop_Idleb_NSAG]]</f>
        <v>0</v>
      </c>
      <c r="Z227" s="3">
        <v>0</v>
      </c>
      <c r="AA227" s="3">
        <v>0</v>
      </c>
      <c r="AB227" s="3">
        <v>0</v>
      </c>
      <c r="AC227" s="3">
        <v>0</v>
      </c>
      <c r="AD227" s="1">
        <v>9861</v>
      </c>
      <c r="AE227" s="1">
        <v>0</v>
      </c>
      <c r="AF227" s="1">
        <v>0</v>
      </c>
      <c r="AG227" s="1">
        <v>0</v>
      </c>
      <c r="AH227" s="1">
        <v>0</v>
      </c>
      <c r="AI227" s="1">
        <f>Table1[[#This Row],[NWS_pin]]*Table1[[#This Row],[Perc_pop_Northern_Aleppo]]</f>
        <v>0</v>
      </c>
      <c r="AJ227" s="1">
        <f>Table1[[#This Row],[NWS_pin]]*Table1[[#This Row],[Perc_pop_Afrin District]]</f>
        <v>0</v>
      </c>
      <c r="AK227" s="1">
        <f>Table1[[#This Row],[NWS_pin]]*Table1[[#This Row],[Perc_pop_Euphrates Shiled]]</f>
        <v>0</v>
      </c>
      <c r="AL227" s="1">
        <f>Table1[[#This Row],[NWS_pin]]*Table1[[#This Row],[Perc_Pop_Idleb_NSAG]]</f>
        <v>0</v>
      </c>
      <c r="AM227" s="4">
        <v>0.50428580833077696</v>
      </c>
      <c r="AN227" s="4">
        <v>0.49571419166922298</v>
      </c>
      <c r="AO227" s="4">
        <v>3.1015073459263499E-2</v>
      </c>
      <c r="AP227" s="4">
        <v>0.33787830782244699</v>
      </c>
      <c r="AQ227" s="4">
        <v>0.60402607310777601</v>
      </c>
      <c r="AR227" s="4">
        <v>2.9544114961778801E-3</v>
      </c>
      <c r="AS227" s="4">
        <v>0</v>
      </c>
      <c r="AT227" s="4">
        <v>5.5141207573599797E-2</v>
      </c>
      <c r="AU227" s="4">
        <v>6.6178481424887997E-2</v>
      </c>
      <c r="AV227" s="4">
        <v>8.8395528711905397E-2</v>
      </c>
      <c r="AW227" s="4">
        <v>4.3577269197878202E-2</v>
      </c>
      <c r="AX227" s="4">
        <v>5.0792170071189302E-2</v>
      </c>
      <c r="AY227" s="4">
        <v>5.3355763698074599E-2</v>
      </c>
      <c r="AZ227" s="4">
        <v>4.8184248195859702E-2</v>
      </c>
      <c r="BA227" s="4">
        <v>0.114956010117251</v>
      </c>
      <c r="BB227" s="4">
        <v>8.1071741811474599E-2</v>
      </c>
      <c r="BC227" s="4">
        <v>0.149426186520184</v>
      </c>
      <c r="BD227" s="4">
        <v>4.7869147185603401E-2</v>
      </c>
      <c r="BE227" s="4">
        <v>4.2410772696444901E-2</v>
      </c>
      <c r="BF227" s="4">
        <v>5.3421904878839098E-2</v>
      </c>
      <c r="BG227" s="4">
        <v>6.7790394921898006E-2</v>
      </c>
      <c r="BH227" s="4">
        <v>7.25490036097899E-2</v>
      </c>
      <c r="BI227" s="4">
        <v>6.2949502994590095E-2</v>
      </c>
      <c r="BJ227" s="4">
        <v>5.7255301294007702E-2</v>
      </c>
      <c r="BK227" s="4">
        <v>4.8222226327560298E-2</v>
      </c>
      <c r="BL227" s="4">
        <v>6.6444571215509202E-2</v>
      </c>
      <c r="BM227" s="4">
        <v>6.3584573622647604E-3</v>
      </c>
      <c r="BN227" s="4">
        <v>1.26088366105557E-2</v>
      </c>
      <c r="BO227" s="4">
        <v>0</v>
      </c>
      <c r="BP227" s="4">
        <v>4.67846748258555E-2</v>
      </c>
      <c r="BQ227" s="4">
        <v>4.2727832558911098E-2</v>
      </c>
      <c r="BR227" s="4">
        <v>5.0911665773941302E-2</v>
      </c>
      <c r="BS227" s="4">
        <v>8.6825496352361101E-2</v>
      </c>
      <c r="BT227" s="4">
        <v>0.113666552539208</v>
      </c>
      <c r="BU227" s="4">
        <v>5.9520319411476397E-2</v>
      </c>
      <c r="BV227" s="4">
        <v>0.125111463804461</v>
      </c>
      <c r="BW227" s="4">
        <v>0.13695662862047001</v>
      </c>
      <c r="BX227" s="4">
        <v>0.113061478925194</v>
      </c>
      <c r="BY227" s="4">
        <v>0.11744292034187</v>
      </c>
      <c r="BZ227" s="4">
        <v>0.116788873515478</v>
      </c>
      <c r="CA227" s="4">
        <v>0.118108276585602</v>
      </c>
      <c r="CB227" s="4">
        <v>7.4079822964310899E-2</v>
      </c>
      <c r="CC227" s="4">
        <v>3.6222694223367997E-2</v>
      </c>
      <c r="CD227" s="4">
        <v>0.11259155631599101</v>
      </c>
      <c r="CE227" s="4">
        <v>4.0632751142011002E-2</v>
      </c>
      <c r="CF227" s="4">
        <v>4.6502324534950297E-2</v>
      </c>
      <c r="CG227" s="4">
        <v>3.4661684320122801E-2</v>
      </c>
      <c r="CH227" s="4">
        <v>2.1656126371323501E-2</v>
      </c>
      <c r="CI227" s="4">
        <v>1.7600288888036799E-2</v>
      </c>
      <c r="CJ227" s="4">
        <v>2.5782095161586201E-2</v>
      </c>
      <c r="CK227" s="4">
        <v>3.8168012162804098E-2</v>
      </c>
      <c r="CL227" s="4">
        <v>5.8427580082028897E-2</v>
      </c>
      <c r="CM227" s="4">
        <v>1.7558126958234901E-2</v>
      </c>
      <c r="CN227" s="4">
        <v>1.8203701045996699E-2</v>
      </c>
      <c r="CO227" s="4">
        <v>3.1545342582970002E-3</v>
      </c>
      <c r="CP227" s="4">
        <v>3.35130897336295E-2</v>
      </c>
      <c r="CQ227" s="4">
        <v>1.9895068611903498E-2</v>
      </c>
      <c r="CR227" s="4">
        <v>2.93388173134469E-2</v>
      </c>
      <c r="CS227" s="4">
        <v>1.0288023811361799E-2</v>
      </c>
      <c r="CT227" s="1">
        <f>Table1[[#This Row],[Female %]]*Table1[[#This Row],[NWS_pin]]</f>
        <v>0</v>
      </c>
      <c r="CU227" s="1">
        <f>Table1[[#This Row],[Male %]]*Table1[[#This Row],[NWS_pin]]</f>
        <v>0</v>
      </c>
      <c r="CV227" s="1">
        <f>Table1[[#This Row],[Female% (0-2)22]]+Table1[[#This Row],[Male%(0-2)3]]</f>
        <v>0</v>
      </c>
      <c r="CW227" s="1">
        <f>$CT227*Table1[[#This Row],[Female% (0-2)]]</f>
        <v>0</v>
      </c>
      <c r="CX227" s="1">
        <f>$CU227*Table1[[#This Row],[Male%(0-2)]]</f>
        <v>0</v>
      </c>
      <c r="CY227" s="1">
        <f>Table1[[#This Row],[Female%  (3-5)5]]+Table1[[#This Row],[Male% (3-5)6]]</f>
        <v>0</v>
      </c>
      <c r="CZ227" s="1">
        <f>$AF227*Table1[[#This Row],[Female%  (3-5)]]</f>
        <v>0</v>
      </c>
      <c r="DA227" s="1">
        <f>$CU227*Table1[[#This Row],[Male% (3-5)]]</f>
        <v>0</v>
      </c>
      <c r="DB227" s="1">
        <f>Table1[[#This Row],[Female% (6-8)8]]+Table1[[#This Row],[Male%(6-8)9]]</f>
        <v>0</v>
      </c>
      <c r="DC227" s="1">
        <f>$CT227*Table1[[#This Row],[Female% (6-8)]]</f>
        <v>0</v>
      </c>
      <c r="DD227" s="1">
        <f>$CU227*Table1[[#This Row],[Male%(6-8)]]</f>
        <v>0</v>
      </c>
      <c r="DE227" s="1">
        <f>Table1[[#This Row],[Female% (9 - 11)11]]+Table1[[#This Row],[Male% (9 - 11)12]]</f>
        <v>0</v>
      </c>
      <c r="DF227" s="1">
        <f>$CT227*Table1[[#This Row],[Female% (9 - 11)]]</f>
        <v>0</v>
      </c>
      <c r="DG227" s="1">
        <f>$CU227*Table1[[#This Row],[Male% (9 - 11)]]</f>
        <v>0</v>
      </c>
      <c r="DH227" s="1">
        <f>Table1[[#This Row],[Female% (12-14)14]]+Table1[[#This Row],[Male%(12-14)15]]</f>
        <v>0</v>
      </c>
      <c r="DI227" s="1">
        <f>$CT227*Table1[[#This Row],[Female% (12-14)]]</f>
        <v>0</v>
      </c>
      <c r="DJ227" s="1">
        <f>$CU227*Table1[[#This Row],[Male%(12-14)]]</f>
        <v>0</v>
      </c>
      <c r="DK227" s="1">
        <f>Table1[[#This Row],[Female% (15-17)17]]+Table1[[#This Row],[Male%(15-17)18]]</f>
        <v>0</v>
      </c>
      <c r="DL227" s="1">
        <f>$CT227*Table1[[#This Row],[Female% (15-17)]]</f>
        <v>0</v>
      </c>
      <c r="DM227" s="1">
        <f>$CU227*Table1[[#This Row],[Male%(15-17)]]</f>
        <v>0</v>
      </c>
      <c r="DN227" s="1">
        <f>$AF227*Table1[[#This Row],[Total% (18-19)]]</f>
        <v>0</v>
      </c>
      <c r="DO227" s="1">
        <f>$CT227*Table1[[#This Row],[Female% (18-19)]]</f>
        <v>0</v>
      </c>
      <c r="DP227" s="1">
        <f>$CU227*Table1[[#This Row],[Male%(18-19)]]</f>
        <v>0</v>
      </c>
      <c r="DQ227" s="1">
        <f>$AF227*Table1[[#This Row],[Total% (20-24)]]</f>
        <v>0</v>
      </c>
      <c r="DR227" s="1">
        <f>$CT227*Table1[[#This Row],[Female% (20-24)]]</f>
        <v>0</v>
      </c>
      <c r="DS227" s="1">
        <f>$CU227*Table1[[#This Row],[Male% (20-24)]]</f>
        <v>0</v>
      </c>
      <c r="DT227" s="1">
        <f>$AF227*Table1[[#This Row],[Total% (25-29)]]</f>
        <v>0</v>
      </c>
      <c r="DU227" s="1">
        <f>$CT227*Table1[[#This Row],[Female% (25-29)]]</f>
        <v>0</v>
      </c>
      <c r="DV227" s="1">
        <f>$CU227*Table1[[#This Row],[Male% (25-29)]]</f>
        <v>0</v>
      </c>
      <c r="DW227" s="1">
        <f>$AF227*Table1[[#This Row],[Total%   (30-34)]]</f>
        <v>0</v>
      </c>
      <c r="DX227" s="1">
        <f>$CT227*Table1[[#This Row],[Female%   (30-34)]]</f>
        <v>0</v>
      </c>
      <c r="DY227" s="1">
        <f>$CU227*Table1[[#This Row],[Male%  (30-34)]]</f>
        <v>0</v>
      </c>
      <c r="DZ227" s="1">
        <f>$AF227*Table1[[#This Row],[Total% (35-39)]]</f>
        <v>0</v>
      </c>
      <c r="EA227" s="1">
        <f>$CT227*Table1[[#This Row],[Female% (35-39)]]</f>
        <v>0</v>
      </c>
      <c r="EB227" s="1">
        <f>$CU227*Table1[[#This Row],[Male% (35-39)]]</f>
        <v>0</v>
      </c>
      <c r="EC227" s="1">
        <f>$AF227*Table1[[#This Row],[Total% (40-44)]]</f>
        <v>0</v>
      </c>
      <c r="ED227" s="1">
        <f>$CT227*Table1[[#This Row],[Female% (40-44)]]</f>
        <v>0</v>
      </c>
      <c r="EE227" s="1">
        <f>$CU227*Table1[[#This Row],[Male%(55-59)]]</f>
        <v>0</v>
      </c>
      <c r="EF227" s="1">
        <f>$AF227*Table1[[#This Row],[Total% (45-49)]]</f>
        <v>0</v>
      </c>
      <c r="EG227" s="1">
        <f>$CT227*Table1[[#This Row],[Female% (45-49)]]</f>
        <v>0</v>
      </c>
      <c r="EH227" s="1">
        <f>$CU227*Table1[[#This Row],[Male% (45-49)]]</f>
        <v>0</v>
      </c>
      <c r="EI227" s="1">
        <f>$AF227*Table1[[#This Row],[Total% (50-54)]]</f>
        <v>0</v>
      </c>
      <c r="EJ227" s="1">
        <f>$CT227*Table1[[#This Row],[Female%(50-54)]]</f>
        <v>0</v>
      </c>
      <c r="EK227" s="1">
        <f>$CU227*Table1[[#This Row],[Male% (50-54)]]</f>
        <v>0</v>
      </c>
      <c r="EL227" s="1">
        <f>$AF227*Table1[[#This Row],[Total% (55-59)]]</f>
        <v>0</v>
      </c>
      <c r="EM227" s="1">
        <f>$CT227*Table1[[#This Row],[Female% (55-59)]]</f>
        <v>0</v>
      </c>
      <c r="EN227" s="1">
        <f>$CU227*Table1[[#This Row],[Male% (55-59)]]</f>
        <v>0</v>
      </c>
      <c r="EO227" s="1">
        <f>$AF227*Table1[[#This Row],[Total% (60-64)]]</f>
        <v>0</v>
      </c>
      <c r="EP227" s="1">
        <f>$CT227*Table1[[#This Row],[Female%(60-64)]]</f>
        <v>0</v>
      </c>
      <c r="EQ227" s="1">
        <f>$CU227*Table1[[#This Row],[Male%(60-64)]]</f>
        <v>0</v>
      </c>
      <c r="ER227" s="1">
        <f>$AF227*Table1[[#This Row],[Total% (&gt;=65)]]</f>
        <v>0</v>
      </c>
      <c r="ES227" s="1">
        <f>$CT227*Table1[[#This Row],[Female%(&gt;=65)]]</f>
        <v>0</v>
      </c>
      <c r="ET227" s="1">
        <f>$CU227*Table1[[#This Row],[Male% (&gt;=65)]]</f>
        <v>0</v>
      </c>
    </row>
    <row r="228" spans="1:150" hidden="1" x14ac:dyDescent="0.35">
      <c r="A228" t="s">
        <v>6</v>
      </c>
      <c r="B228" t="s">
        <v>7</v>
      </c>
      <c r="C228" t="s">
        <v>66</v>
      </c>
      <c r="D228" t="s">
        <v>67</v>
      </c>
      <c r="E228" t="s">
        <v>95</v>
      </c>
      <c r="F228" t="s">
        <v>96</v>
      </c>
      <c r="H228">
        <v>2</v>
      </c>
      <c r="I228" s="1">
        <v>0</v>
      </c>
      <c r="J228" s="1">
        <v>10054</v>
      </c>
      <c r="K228" s="1">
        <v>2215</v>
      </c>
      <c r="L228" s="1">
        <v>0</v>
      </c>
      <c r="M228" s="1">
        <v>0</v>
      </c>
      <c r="N228" s="1">
        <v>2215</v>
      </c>
      <c r="O228" s="3">
        <v>1</v>
      </c>
      <c r="P228" s="3">
        <v>0</v>
      </c>
      <c r="Q228" s="3">
        <v>0</v>
      </c>
      <c r="R228" s="3">
        <v>0</v>
      </c>
      <c r="S228" s="3">
        <v>0</v>
      </c>
      <c r="T228" s="1">
        <v>12269</v>
      </c>
      <c r="U228" s="1">
        <v>0</v>
      </c>
      <c r="V228" s="10">
        <f>Table1[[#This Row],[Pop NW+RATAA]]*Table1[[#This Row],[Perc_pop_Northern_Aleppo]]</f>
        <v>0</v>
      </c>
      <c r="W228" s="10">
        <f>Table1[[#This Row],[Pop NW+RATAA]]*Table1[[#This Row],[Perc_pop_Afrin District]]</f>
        <v>0</v>
      </c>
      <c r="X228" s="10">
        <f>Table1[[#This Row],[Pop NW+RATAA]]*Table1[[#This Row],[Perc_pop_Euphrates Shiled]]</f>
        <v>0</v>
      </c>
      <c r="Y228" s="10">
        <f>Table1[[#This Row],[Pop NW+RATAA]]*Table1[[#This Row],[Perc_Pop_Idleb_NSAG]]</f>
        <v>0</v>
      </c>
      <c r="Z228" s="3">
        <v>0</v>
      </c>
      <c r="AA228" s="3">
        <v>0</v>
      </c>
      <c r="AB228" s="3">
        <v>0</v>
      </c>
      <c r="AC228" s="3">
        <v>0</v>
      </c>
      <c r="AD228" s="1">
        <v>2215</v>
      </c>
      <c r="AE228" s="1">
        <v>0</v>
      </c>
      <c r="AF228" s="1">
        <v>0</v>
      </c>
      <c r="AG228" s="1">
        <v>0</v>
      </c>
      <c r="AH228" s="1">
        <v>0</v>
      </c>
      <c r="AI228" s="1">
        <f>Table1[[#This Row],[NWS_pin]]*Table1[[#This Row],[Perc_pop_Northern_Aleppo]]</f>
        <v>0</v>
      </c>
      <c r="AJ228" s="1">
        <f>Table1[[#This Row],[NWS_pin]]*Table1[[#This Row],[Perc_pop_Afrin District]]</f>
        <v>0</v>
      </c>
      <c r="AK228" s="1">
        <f>Table1[[#This Row],[NWS_pin]]*Table1[[#This Row],[Perc_pop_Euphrates Shiled]]</f>
        <v>0</v>
      </c>
      <c r="AL228" s="1">
        <f>Table1[[#This Row],[NWS_pin]]*Table1[[#This Row],[Perc_Pop_Idleb_NSAG]]</f>
        <v>0</v>
      </c>
      <c r="AM228" s="4">
        <v>0.51942681313547301</v>
      </c>
      <c r="AN228" s="4">
        <v>0.48057318686452699</v>
      </c>
      <c r="AO228" s="4">
        <v>7.5910827523730795E-2</v>
      </c>
      <c r="AP228" s="4">
        <v>0.33360152316492198</v>
      </c>
      <c r="AQ228" s="4">
        <v>0.61705428543715102</v>
      </c>
      <c r="AR228" s="4">
        <v>5.24106735690286E-3</v>
      </c>
      <c r="AS228" s="4">
        <v>0</v>
      </c>
      <c r="AT228" s="4">
        <v>4.4103124041023997E-2</v>
      </c>
      <c r="AU228" s="4">
        <v>4.9758486147356402E-2</v>
      </c>
      <c r="AV228" s="4">
        <v>6.0410211229619197E-2</v>
      </c>
      <c r="AW228" s="4">
        <v>3.8245584959561603E-2</v>
      </c>
      <c r="AX228" s="4">
        <v>5.49472439439515E-2</v>
      </c>
      <c r="AY228" s="4">
        <v>6.9693816880548806E-2</v>
      </c>
      <c r="AZ228" s="4">
        <v>3.9008432552699701E-2</v>
      </c>
      <c r="BA228" s="4">
        <v>6.1449240588327299E-2</v>
      </c>
      <c r="BB228" s="4">
        <v>5.2662750151674799E-2</v>
      </c>
      <c r="BC228" s="4">
        <v>7.0946105687965694E-2</v>
      </c>
      <c r="BD228" s="4">
        <v>6.5936706397318398E-2</v>
      </c>
      <c r="BE228" s="4">
        <v>4.7039010227216099E-2</v>
      </c>
      <c r="BF228" s="4">
        <v>8.6362253151773094E-2</v>
      </c>
      <c r="BG228" s="4">
        <v>6.3412310156976903E-2</v>
      </c>
      <c r="BH228" s="4">
        <v>5.8647064204197401E-2</v>
      </c>
      <c r="BI228" s="4">
        <v>6.8562819146477896E-2</v>
      </c>
      <c r="BJ228" s="4">
        <v>6.8327656267179404E-2</v>
      </c>
      <c r="BK228" s="4">
        <v>8.0793736971131694E-2</v>
      </c>
      <c r="BL228" s="4">
        <v>5.4853711508440803E-2</v>
      </c>
      <c r="BM228" s="4">
        <v>7.0634670297184503E-3</v>
      </c>
      <c r="BN228" s="4">
        <v>2.9852174132452801E-3</v>
      </c>
      <c r="BO228" s="4">
        <v>1.14714370525087E-2</v>
      </c>
      <c r="BP228" s="4">
        <v>4.5469225022207099E-2</v>
      </c>
      <c r="BQ228" s="4">
        <v>3.8672159205572001E-2</v>
      </c>
      <c r="BR228" s="4">
        <v>5.2815823484850997E-2</v>
      </c>
      <c r="BS228" s="4">
        <v>0.111972285713028</v>
      </c>
      <c r="BT228" s="4">
        <v>0.151847441325447</v>
      </c>
      <c r="BU228" s="4">
        <v>6.8873283169470695E-2</v>
      </c>
      <c r="BV228" s="4">
        <v>9.8604685108360401E-2</v>
      </c>
      <c r="BW228" s="4">
        <v>8.6481475548960698E-2</v>
      </c>
      <c r="BX228" s="4">
        <v>0.111708038101268</v>
      </c>
      <c r="BY228" s="4">
        <v>6.7544850368127005E-2</v>
      </c>
      <c r="BZ228" s="4">
        <v>6.5771035070359404E-2</v>
      </c>
      <c r="CA228" s="4">
        <v>6.9462075990350605E-2</v>
      </c>
      <c r="CB228" s="4">
        <v>8.7878864169104398E-2</v>
      </c>
      <c r="CC228" s="4">
        <v>7.5835247400311001E-2</v>
      </c>
      <c r="CD228" s="4">
        <v>0.100896189412851</v>
      </c>
      <c r="CE228" s="4">
        <v>6.2530977948586905E-2</v>
      </c>
      <c r="CF228" s="4">
        <v>6.4592430245629301E-2</v>
      </c>
      <c r="CG228" s="4">
        <v>6.0302860304176101E-2</v>
      </c>
      <c r="CH228" s="4">
        <v>5.0594807711559497E-2</v>
      </c>
      <c r="CI228" s="4">
        <v>3.8208801698058903E-2</v>
      </c>
      <c r="CJ228" s="4">
        <v>6.3982203860406803E-2</v>
      </c>
      <c r="CK228" s="4">
        <v>4.4769030912655501E-2</v>
      </c>
      <c r="CL228" s="4">
        <v>4.75249282805736E-2</v>
      </c>
      <c r="CM228" s="4">
        <v>4.1790323347870598E-2</v>
      </c>
      <c r="CN228" s="4">
        <v>2.79402048304957E-2</v>
      </c>
      <c r="CO228" s="4">
        <v>3.4484796711679297E-2</v>
      </c>
      <c r="CP228" s="4">
        <v>2.0866492444886E-2</v>
      </c>
      <c r="CQ228" s="4">
        <v>3.1799957685046898E-2</v>
      </c>
      <c r="CR228" s="4">
        <v>2.43498774357753E-2</v>
      </c>
      <c r="CS228" s="4">
        <v>3.9852365824441502E-2</v>
      </c>
      <c r="CT228" s="1">
        <f>Table1[[#This Row],[Female %]]*Table1[[#This Row],[NWS_pin]]</f>
        <v>0</v>
      </c>
      <c r="CU228" s="1">
        <f>Table1[[#This Row],[Male %]]*Table1[[#This Row],[NWS_pin]]</f>
        <v>0</v>
      </c>
      <c r="CV228" s="1">
        <f>Table1[[#This Row],[Female% (0-2)22]]+Table1[[#This Row],[Male%(0-2)3]]</f>
        <v>0</v>
      </c>
      <c r="CW228" s="1">
        <f>$CT228*Table1[[#This Row],[Female% (0-2)]]</f>
        <v>0</v>
      </c>
      <c r="CX228" s="1">
        <f>$CU228*Table1[[#This Row],[Male%(0-2)]]</f>
        <v>0</v>
      </c>
      <c r="CY228" s="1">
        <f>Table1[[#This Row],[Female%  (3-5)5]]+Table1[[#This Row],[Male% (3-5)6]]</f>
        <v>0</v>
      </c>
      <c r="CZ228" s="1">
        <f>$AF228*Table1[[#This Row],[Female%  (3-5)]]</f>
        <v>0</v>
      </c>
      <c r="DA228" s="1">
        <f>$CU228*Table1[[#This Row],[Male% (3-5)]]</f>
        <v>0</v>
      </c>
      <c r="DB228" s="1">
        <f>Table1[[#This Row],[Female% (6-8)8]]+Table1[[#This Row],[Male%(6-8)9]]</f>
        <v>0</v>
      </c>
      <c r="DC228" s="1">
        <f>$CT228*Table1[[#This Row],[Female% (6-8)]]</f>
        <v>0</v>
      </c>
      <c r="DD228" s="1">
        <f>$CU228*Table1[[#This Row],[Male%(6-8)]]</f>
        <v>0</v>
      </c>
      <c r="DE228" s="1">
        <f>Table1[[#This Row],[Female% (9 - 11)11]]+Table1[[#This Row],[Male% (9 - 11)12]]</f>
        <v>0</v>
      </c>
      <c r="DF228" s="1">
        <f>$CT228*Table1[[#This Row],[Female% (9 - 11)]]</f>
        <v>0</v>
      </c>
      <c r="DG228" s="1">
        <f>$CU228*Table1[[#This Row],[Male% (9 - 11)]]</f>
        <v>0</v>
      </c>
      <c r="DH228" s="1">
        <f>Table1[[#This Row],[Female% (12-14)14]]+Table1[[#This Row],[Male%(12-14)15]]</f>
        <v>0</v>
      </c>
      <c r="DI228" s="1">
        <f>$CT228*Table1[[#This Row],[Female% (12-14)]]</f>
        <v>0</v>
      </c>
      <c r="DJ228" s="1">
        <f>$CU228*Table1[[#This Row],[Male%(12-14)]]</f>
        <v>0</v>
      </c>
      <c r="DK228" s="1">
        <f>Table1[[#This Row],[Female% (15-17)17]]+Table1[[#This Row],[Male%(15-17)18]]</f>
        <v>0</v>
      </c>
      <c r="DL228" s="1">
        <f>$CT228*Table1[[#This Row],[Female% (15-17)]]</f>
        <v>0</v>
      </c>
      <c r="DM228" s="1">
        <f>$CU228*Table1[[#This Row],[Male%(15-17)]]</f>
        <v>0</v>
      </c>
      <c r="DN228" s="1">
        <f>$AF228*Table1[[#This Row],[Total% (18-19)]]</f>
        <v>0</v>
      </c>
      <c r="DO228" s="1">
        <f>$CT228*Table1[[#This Row],[Female% (18-19)]]</f>
        <v>0</v>
      </c>
      <c r="DP228" s="1">
        <f>$CU228*Table1[[#This Row],[Male%(18-19)]]</f>
        <v>0</v>
      </c>
      <c r="DQ228" s="1">
        <f>$AF228*Table1[[#This Row],[Total% (20-24)]]</f>
        <v>0</v>
      </c>
      <c r="DR228" s="1">
        <f>$CT228*Table1[[#This Row],[Female% (20-24)]]</f>
        <v>0</v>
      </c>
      <c r="DS228" s="1">
        <f>$CU228*Table1[[#This Row],[Male% (20-24)]]</f>
        <v>0</v>
      </c>
      <c r="DT228" s="1">
        <f>$AF228*Table1[[#This Row],[Total% (25-29)]]</f>
        <v>0</v>
      </c>
      <c r="DU228" s="1">
        <f>$CT228*Table1[[#This Row],[Female% (25-29)]]</f>
        <v>0</v>
      </c>
      <c r="DV228" s="1">
        <f>$CU228*Table1[[#This Row],[Male% (25-29)]]</f>
        <v>0</v>
      </c>
      <c r="DW228" s="1">
        <f>$AF228*Table1[[#This Row],[Total%   (30-34)]]</f>
        <v>0</v>
      </c>
      <c r="DX228" s="1">
        <f>$CT228*Table1[[#This Row],[Female%   (30-34)]]</f>
        <v>0</v>
      </c>
      <c r="DY228" s="1">
        <f>$CU228*Table1[[#This Row],[Male%  (30-34)]]</f>
        <v>0</v>
      </c>
      <c r="DZ228" s="1">
        <f>$AF228*Table1[[#This Row],[Total% (35-39)]]</f>
        <v>0</v>
      </c>
      <c r="EA228" s="1">
        <f>$CT228*Table1[[#This Row],[Female% (35-39)]]</f>
        <v>0</v>
      </c>
      <c r="EB228" s="1">
        <f>$CU228*Table1[[#This Row],[Male% (35-39)]]</f>
        <v>0</v>
      </c>
      <c r="EC228" s="1">
        <f>$AF228*Table1[[#This Row],[Total% (40-44)]]</f>
        <v>0</v>
      </c>
      <c r="ED228" s="1">
        <f>$CT228*Table1[[#This Row],[Female% (40-44)]]</f>
        <v>0</v>
      </c>
      <c r="EE228" s="1">
        <f>$CU228*Table1[[#This Row],[Male%(55-59)]]</f>
        <v>0</v>
      </c>
      <c r="EF228" s="1">
        <f>$AF228*Table1[[#This Row],[Total% (45-49)]]</f>
        <v>0</v>
      </c>
      <c r="EG228" s="1">
        <f>$CT228*Table1[[#This Row],[Female% (45-49)]]</f>
        <v>0</v>
      </c>
      <c r="EH228" s="1">
        <f>$CU228*Table1[[#This Row],[Male% (45-49)]]</f>
        <v>0</v>
      </c>
      <c r="EI228" s="1">
        <f>$AF228*Table1[[#This Row],[Total% (50-54)]]</f>
        <v>0</v>
      </c>
      <c r="EJ228" s="1">
        <f>$CT228*Table1[[#This Row],[Female%(50-54)]]</f>
        <v>0</v>
      </c>
      <c r="EK228" s="1">
        <f>$CU228*Table1[[#This Row],[Male% (50-54)]]</f>
        <v>0</v>
      </c>
      <c r="EL228" s="1">
        <f>$AF228*Table1[[#This Row],[Total% (55-59)]]</f>
        <v>0</v>
      </c>
      <c r="EM228" s="1">
        <f>$CT228*Table1[[#This Row],[Female% (55-59)]]</f>
        <v>0</v>
      </c>
      <c r="EN228" s="1">
        <f>$CU228*Table1[[#This Row],[Male% (55-59)]]</f>
        <v>0</v>
      </c>
      <c r="EO228" s="1">
        <f>$AF228*Table1[[#This Row],[Total% (60-64)]]</f>
        <v>0</v>
      </c>
      <c r="EP228" s="1">
        <f>$CT228*Table1[[#This Row],[Female%(60-64)]]</f>
        <v>0</v>
      </c>
      <c r="EQ228" s="1">
        <f>$CU228*Table1[[#This Row],[Male%(60-64)]]</f>
        <v>0</v>
      </c>
      <c r="ER228" s="1">
        <f>$AF228*Table1[[#This Row],[Total% (&gt;=65)]]</f>
        <v>0</v>
      </c>
      <c r="ES228" s="1">
        <f>$CT228*Table1[[#This Row],[Female%(&gt;=65)]]</f>
        <v>0</v>
      </c>
      <c r="ET228" s="1">
        <f>$CU228*Table1[[#This Row],[Male% (&gt;=65)]]</f>
        <v>0</v>
      </c>
    </row>
    <row r="229" spans="1:150" hidden="1" x14ac:dyDescent="0.35">
      <c r="A229" t="s">
        <v>6</v>
      </c>
      <c r="B229" t="s">
        <v>7</v>
      </c>
      <c r="C229" t="s">
        <v>66</v>
      </c>
      <c r="D229" t="s">
        <v>67</v>
      </c>
      <c r="E229" t="s">
        <v>547</v>
      </c>
      <c r="F229" t="s">
        <v>548</v>
      </c>
      <c r="H229">
        <v>2</v>
      </c>
      <c r="I229" s="1">
        <v>0</v>
      </c>
      <c r="J229" s="1">
        <v>8364</v>
      </c>
      <c r="K229" s="1">
        <v>1328</v>
      </c>
      <c r="L229" s="1">
        <v>0</v>
      </c>
      <c r="M229" s="1">
        <v>0</v>
      </c>
      <c r="N229" s="1">
        <v>1328</v>
      </c>
      <c r="O229" s="3">
        <v>1</v>
      </c>
      <c r="P229" s="3">
        <v>0</v>
      </c>
      <c r="Q229" s="3">
        <v>0</v>
      </c>
      <c r="R229" s="3">
        <v>0</v>
      </c>
      <c r="S229" s="3">
        <v>0</v>
      </c>
      <c r="T229" s="1">
        <v>9692</v>
      </c>
      <c r="U229" s="1">
        <v>0</v>
      </c>
      <c r="V229" s="10">
        <f>Table1[[#This Row],[Pop NW+RATAA]]*Table1[[#This Row],[Perc_pop_Northern_Aleppo]]</f>
        <v>0</v>
      </c>
      <c r="W229" s="10">
        <f>Table1[[#This Row],[Pop NW+RATAA]]*Table1[[#This Row],[Perc_pop_Afrin District]]</f>
        <v>0</v>
      </c>
      <c r="X229" s="10">
        <f>Table1[[#This Row],[Pop NW+RATAA]]*Table1[[#This Row],[Perc_pop_Euphrates Shiled]]</f>
        <v>0</v>
      </c>
      <c r="Y229" s="10">
        <f>Table1[[#This Row],[Pop NW+RATAA]]*Table1[[#This Row],[Perc_Pop_Idleb_NSAG]]</f>
        <v>0</v>
      </c>
      <c r="Z229" s="3">
        <v>0</v>
      </c>
      <c r="AA229" s="3">
        <v>0</v>
      </c>
      <c r="AB229" s="3">
        <v>0</v>
      </c>
      <c r="AC229" s="3">
        <v>0</v>
      </c>
      <c r="AD229" s="1">
        <v>1328</v>
      </c>
      <c r="AE229" s="1">
        <v>0</v>
      </c>
      <c r="AF229" s="1">
        <v>0</v>
      </c>
      <c r="AG229" s="1">
        <v>0</v>
      </c>
      <c r="AH229" s="1">
        <v>0</v>
      </c>
      <c r="AI229" s="1">
        <f>Table1[[#This Row],[NWS_pin]]*Table1[[#This Row],[Perc_pop_Northern_Aleppo]]</f>
        <v>0</v>
      </c>
      <c r="AJ229" s="1">
        <f>Table1[[#This Row],[NWS_pin]]*Table1[[#This Row],[Perc_pop_Afrin District]]</f>
        <v>0</v>
      </c>
      <c r="AK229" s="1">
        <f>Table1[[#This Row],[NWS_pin]]*Table1[[#This Row],[Perc_pop_Euphrates Shiled]]</f>
        <v>0</v>
      </c>
      <c r="AL229" s="1">
        <f>Table1[[#This Row],[NWS_pin]]*Table1[[#This Row],[Perc_Pop_Idleb_NSAG]]</f>
        <v>0</v>
      </c>
      <c r="AM229" s="4">
        <v>0.49835754698618101</v>
      </c>
      <c r="AN229" s="4">
        <v>0.50164245301381905</v>
      </c>
      <c r="AO229" s="4">
        <v>0.25011482070305602</v>
      </c>
      <c r="AP229" s="4">
        <v>0.42211239436202103</v>
      </c>
      <c r="AQ229" s="4">
        <v>0.52700851741185495</v>
      </c>
      <c r="AR229" s="4">
        <v>2.9417239514886099E-3</v>
      </c>
      <c r="AS229" s="4">
        <v>0</v>
      </c>
      <c r="AT229" s="4">
        <v>4.7937364274634603E-2</v>
      </c>
      <c r="AU229" s="4">
        <v>4.3126831594206799E-2</v>
      </c>
      <c r="AV229" s="4">
        <v>3.8156430074919E-2</v>
      </c>
      <c r="AW229" s="4">
        <v>4.80646854257692E-2</v>
      </c>
      <c r="AX229" s="4">
        <v>3.8858536996513399E-2</v>
      </c>
      <c r="AY229" s="4">
        <v>2.9707090355448398E-2</v>
      </c>
      <c r="AZ229" s="4">
        <v>4.7950057205809603E-2</v>
      </c>
      <c r="BA229" s="4">
        <v>4.5011701404673699E-2</v>
      </c>
      <c r="BB229" s="4">
        <v>2.4170666183275399E-2</v>
      </c>
      <c r="BC229" s="4">
        <v>6.5716263243865897E-2</v>
      </c>
      <c r="BD229" s="4">
        <v>3.9391258900751999E-2</v>
      </c>
      <c r="BE229" s="4">
        <v>2.44789422589641E-2</v>
      </c>
      <c r="BF229" s="4">
        <v>5.4205925197102801E-2</v>
      </c>
      <c r="BG229" s="4">
        <v>4.2587260375834803E-2</v>
      </c>
      <c r="BH229" s="4">
        <v>5.5187604530171998E-2</v>
      </c>
      <c r="BI229" s="4">
        <v>3.00694270740266E-2</v>
      </c>
      <c r="BJ229" s="4">
        <v>5.78459906003745E-2</v>
      </c>
      <c r="BK229" s="4">
        <v>3.3176035216483601E-2</v>
      </c>
      <c r="BL229" s="4">
        <v>8.2354399678415E-2</v>
      </c>
      <c r="BM229" s="4">
        <v>2.8021488460179999E-2</v>
      </c>
      <c r="BN229" s="4">
        <v>3.7454721309284102E-2</v>
      </c>
      <c r="BO229" s="4">
        <v>1.86500272638935E-2</v>
      </c>
      <c r="BP229" s="4">
        <v>6.2105496003436601E-2</v>
      </c>
      <c r="BQ229" s="4">
        <v>8.0979979120648304E-2</v>
      </c>
      <c r="BR229" s="4">
        <v>4.3354608692336802E-2</v>
      </c>
      <c r="BS229" s="4">
        <v>0.15703878186336201</v>
      </c>
      <c r="BT229" s="4">
        <v>0.189617650797267</v>
      </c>
      <c r="BU229" s="4">
        <v>0.12467324918577199</v>
      </c>
      <c r="BV229" s="4">
        <v>9.4959414514256393E-2</v>
      </c>
      <c r="BW229" s="4">
        <v>7.6280384202443499E-2</v>
      </c>
      <c r="BX229" s="4">
        <v>0.113516128903856</v>
      </c>
      <c r="BY229" s="4">
        <v>5.7306504713989299E-2</v>
      </c>
      <c r="BZ229" s="4">
        <v>5.0444906210434202E-2</v>
      </c>
      <c r="CA229" s="4">
        <v>6.4123171401769596E-2</v>
      </c>
      <c r="CB229" s="4">
        <v>5.2353335590952198E-2</v>
      </c>
      <c r="CC229" s="4">
        <v>6.22113129420531E-2</v>
      </c>
      <c r="CD229" s="4">
        <v>4.2559911247728503E-2</v>
      </c>
      <c r="CE229" s="4">
        <v>4.3378048963084399E-2</v>
      </c>
      <c r="CF229" s="4">
        <v>4.1537204736420003E-2</v>
      </c>
      <c r="CG229" s="4">
        <v>4.5206838786737598E-2</v>
      </c>
      <c r="CH229" s="4">
        <v>5.89147737339316E-2</v>
      </c>
      <c r="CI229" s="4">
        <v>8.3930918351872594E-2</v>
      </c>
      <c r="CJ229" s="4">
        <v>3.4062442373321698E-2</v>
      </c>
      <c r="CK229" s="4">
        <v>8.7439942778872806E-2</v>
      </c>
      <c r="CL229" s="4">
        <v>8.1227823679463199E-2</v>
      </c>
      <c r="CM229" s="4">
        <v>9.3611383049464203E-2</v>
      </c>
      <c r="CN229" s="4">
        <v>3.4407796922432503E-2</v>
      </c>
      <c r="CO229" s="4">
        <v>1.69815530340497E-2</v>
      </c>
      <c r="CP229" s="4">
        <v>5.1719928511818003E-2</v>
      </c>
      <c r="CQ229" s="4">
        <v>5.7252836583147101E-2</v>
      </c>
      <c r="CR229" s="4">
        <v>7.4456776996801297E-2</v>
      </c>
      <c r="CS229" s="4">
        <v>4.0161552758312999E-2</v>
      </c>
      <c r="CT229" s="1">
        <f>Table1[[#This Row],[Female %]]*Table1[[#This Row],[NWS_pin]]</f>
        <v>0</v>
      </c>
      <c r="CU229" s="1">
        <f>Table1[[#This Row],[Male %]]*Table1[[#This Row],[NWS_pin]]</f>
        <v>0</v>
      </c>
      <c r="CV229" s="1">
        <f>Table1[[#This Row],[Female% (0-2)22]]+Table1[[#This Row],[Male%(0-2)3]]</f>
        <v>0</v>
      </c>
      <c r="CW229" s="1">
        <f>$CT229*Table1[[#This Row],[Female% (0-2)]]</f>
        <v>0</v>
      </c>
      <c r="CX229" s="1">
        <f>$CU229*Table1[[#This Row],[Male%(0-2)]]</f>
        <v>0</v>
      </c>
      <c r="CY229" s="1">
        <f>Table1[[#This Row],[Female%  (3-5)5]]+Table1[[#This Row],[Male% (3-5)6]]</f>
        <v>0</v>
      </c>
      <c r="CZ229" s="1">
        <f>$AF229*Table1[[#This Row],[Female%  (3-5)]]</f>
        <v>0</v>
      </c>
      <c r="DA229" s="1">
        <f>$CU229*Table1[[#This Row],[Male% (3-5)]]</f>
        <v>0</v>
      </c>
      <c r="DB229" s="1">
        <f>Table1[[#This Row],[Female% (6-8)8]]+Table1[[#This Row],[Male%(6-8)9]]</f>
        <v>0</v>
      </c>
      <c r="DC229" s="1">
        <f>$CT229*Table1[[#This Row],[Female% (6-8)]]</f>
        <v>0</v>
      </c>
      <c r="DD229" s="1">
        <f>$CU229*Table1[[#This Row],[Male%(6-8)]]</f>
        <v>0</v>
      </c>
      <c r="DE229" s="1">
        <f>Table1[[#This Row],[Female% (9 - 11)11]]+Table1[[#This Row],[Male% (9 - 11)12]]</f>
        <v>0</v>
      </c>
      <c r="DF229" s="1">
        <f>$CT229*Table1[[#This Row],[Female% (9 - 11)]]</f>
        <v>0</v>
      </c>
      <c r="DG229" s="1">
        <f>$CU229*Table1[[#This Row],[Male% (9 - 11)]]</f>
        <v>0</v>
      </c>
      <c r="DH229" s="1">
        <f>Table1[[#This Row],[Female% (12-14)14]]+Table1[[#This Row],[Male%(12-14)15]]</f>
        <v>0</v>
      </c>
      <c r="DI229" s="1">
        <f>$CT229*Table1[[#This Row],[Female% (12-14)]]</f>
        <v>0</v>
      </c>
      <c r="DJ229" s="1">
        <f>$CU229*Table1[[#This Row],[Male%(12-14)]]</f>
        <v>0</v>
      </c>
      <c r="DK229" s="1">
        <f>Table1[[#This Row],[Female% (15-17)17]]+Table1[[#This Row],[Male%(15-17)18]]</f>
        <v>0</v>
      </c>
      <c r="DL229" s="1">
        <f>$CT229*Table1[[#This Row],[Female% (15-17)]]</f>
        <v>0</v>
      </c>
      <c r="DM229" s="1">
        <f>$CU229*Table1[[#This Row],[Male%(15-17)]]</f>
        <v>0</v>
      </c>
      <c r="DN229" s="1">
        <f>$AF229*Table1[[#This Row],[Total% (18-19)]]</f>
        <v>0</v>
      </c>
      <c r="DO229" s="1">
        <f>$CT229*Table1[[#This Row],[Female% (18-19)]]</f>
        <v>0</v>
      </c>
      <c r="DP229" s="1">
        <f>$CU229*Table1[[#This Row],[Male%(18-19)]]</f>
        <v>0</v>
      </c>
      <c r="DQ229" s="1">
        <f>$AF229*Table1[[#This Row],[Total% (20-24)]]</f>
        <v>0</v>
      </c>
      <c r="DR229" s="1">
        <f>$CT229*Table1[[#This Row],[Female% (20-24)]]</f>
        <v>0</v>
      </c>
      <c r="DS229" s="1">
        <f>$CU229*Table1[[#This Row],[Male% (20-24)]]</f>
        <v>0</v>
      </c>
      <c r="DT229" s="1">
        <f>$AF229*Table1[[#This Row],[Total% (25-29)]]</f>
        <v>0</v>
      </c>
      <c r="DU229" s="1">
        <f>$CT229*Table1[[#This Row],[Female% (25-29)]]</f>
        <v>0</v>
      </c>
      <c r="DV229" s="1">
        <f>$CU229*Table1[[#This Row],[Male% (25-29)]]</f>
        <v>0</v>
      </c>
      <c r="DW229" s="1">
        <f>$AF229*Table1[[#This Row],[Total%   (30-34)]]</f>
        <v>0</v>
      </c>
      <c r="DX229" s="1">
        <f>$CT229*Table1[[#This Row],[Female%   (30-34)]]</f>
        <v>0</v>
      </c>
      <c r="DY229" s="1">
        <f>$CU229*Table1[[#This Row],[Male%  (30-34)]]</f>
        <v>0</v>
      </c>
      <c r="DZ229" s="1">
        <f>$AF229*Table1[[#This Row],[Total% (35-39)]]</f>
        <v>0</v>
      </c>
      <c r="EA229" s="1">
        <f>$CT229*Table1[[#This Row],[Female% (35-39)]]</f>
        <v>0</v>
      </c>
      <c r="EB229" s="1">
        <f>$CU229*Table1[[#This Row],[Male% (35-39)]]</f>
        <v>0</v>
      </c>
      <c r="EC229" s="1">
        <f>$AF229*Table1[[#This Row],[Total% (40-44)]]</f>
        <v>0</v>
      </c>
      <c r="ED229" s="1">
        <f>$CT229*Table1[[#This Row],[Female% (40-44)]]</f>
        <v>0</v>
      </c>
      <c r="EE229" s="1">
        <f>$CU229*Table1[[#This Row],[Male%(55-59)]]</f>
        <v>0</v>
      </c>
      <c r="EF229" s="1">
        <f>$AF229*Table1[[#This Row],[Total% (45-49)]]</f>
        <v>0</v>
      </c>
      <c r="EG229" s="1">
        <f>$CT229*Table1[[#This Row],[Female% (45-49)]]</f>
        <v>0</v>
      </c>
      <c r="EH229" s="1">
        <f>$CU229*Table1[[#This Row],[Male% (45-49)]]</f>
        <v>0</v>
      </c>
      <c r="EI229" s="1">
        <f>$AF229*Table1[[#This Row],[Total% (50-54)]]</f>
        <v>0</v>
      </c>
      <c r="EJ229" s="1">
        <f>$CT229*Table1[[#This Row],[Female%(50-54)]]</f>
        <v>0</v>
      </c>
      <c r="EK229" s="1">
        <f>$CU229*Table1[[#This Row],[Male% (50-54)]]</f>
        <v>0</v>
      </c>
      <c r="EL229" s="1">
        <f>$AF229*Table1[[#This Row],[Total% (55-59)]]</f>
        <v>0</v>
      </c>
      <c r="EM229" s="1">
        <f>$CT229*Table1[[#This Row],[Female% (55-59)]]</f>
        <v>0</v>
      </c>
      <c r="EN229" s="1">
        <f>$CU229*Table1[[#This Row],[Male% (55-59)]]</f>
        <v>0</v>
      </c>
      <c r="EO229" s="1">
        <f>$AF229*Table1[[#This Row],[Total% (60-64)]]</f>
        <v>0</v>
      </c>
      <c r="EP229" s="1">
        <f>$CT229*Table1[[#This Row],[Female%(60-64)]]</f>
        <v>0</v>
      </c>
      <c r="EQ229" s="1">
        <f>$CU229*Table1[[#This Row],[Male%(60-64)]]</f>
        <v>0</v>
      </c>
      <c r="ER229" s="1">
        <f>$AF229*Table1[[#This Row],[Total% (&gt;=65)]]</f>
        <v>0</v>
      </c>
      <c r="ES229" s="1">
        <f>$CT229*Table1[[#This Row],[Female%(&gt;=65)]]</f>
        <v>0</v>
      </c>
      <c r="ET229" s="1">
        <f>$CU229*Table1[[#This Row],[Male% (&gt;=65)]]</f>
        <v>0</v>
      </c>
    </row>
    <row r="230" spans="1:150" hidden="1" x14ac:dyDescent="0.35">
      <c r="A230" t="s">
        <v>200</v>
      </c>
      <c r="B230" t="s">
        <v>201</v>
      </c>
      <c r="C230" t="s">
        <v>200</v>
      </c>
      <c r="D230" t="s">
        <v>288</v>
      </c>
      <c r="E230" t="s">
        <v>200</v>
      </c>
      <c r="F230" t="s">
        <v>289</v>
      </c>
      <c r="H230">
        <v>4</v>
      </c>
      <c r="I230" s="1">
        <v>0</v>
      </c>
      <c r="J230" s="1">
        <v>0</v>
      </c>
      <c r="K230" s="1">
        <v>122624</v>
      </c>
      <c r="L230" s="1">
        <v>252998</v>
      </c>
      <c r="M230" s="1">
        <v>4371</v>
      </c>
      <c r="N230" s="1">
        <v>379993</v>
      </c>
      <c r="O230" s="3">
        <v>0</v>
      </c>
      <c r="P230" s="3">
        <v>1</v>
      </c>
      <c r="Q230" s="3">
        <v>0</v>
      </c>
      <c r="R230" s="3">
        <v>0</v>
      </c>
      <c r="S230" s="3">
        <v>0</v>
      </c>
      <c r="T230" s="1">
        <v>379993</v>
      </c>
      <c r="U230" s="1">
        <v>0</v>
      </c>
      <c r="V230" s="10">
        <f>Table1[[#This Row],[Pop NW+RATAA]]*Table1[[#This Row],[Perc_pop_Northern_Aleppo]]</f>
        <v>0</v>
      </c>
      <c r="W230" s="10">
        <f>Table1[[#This Row],[Pop NW+RATAA]]*Table1[[#This Row],[Perc_pop_Afrin District]]</f>
        <v>0</v>
      </c>
      <c r="X230" s="10">
        <f>Table1[[#This Row],[Pop NW+RATAA]]*Table1[[#This Row],[Perc_pop_Euphrates Shiled]]</f>
        <v>0</v>
      </c>
      <c r="Y230" s="10">
        <f>Table1[[#This Row],[Pop NW+RATAA]]*Table1[[#This Row],[Perc_Pop_Idleb_NSAG]]</f>
        <v>0</v>
      </c>
      <c r="Z230" s="3">
        <v>0</v>
      </c>
      <c r="AA230" s="3">
        <v>0</v>
      </c>
      <c r="AB230" s="3">
        <v>0</v>
      </c>
      <c r="AC230" s="3">
        <v>0</v>
      </c>
      <c r="AD230" s="1">
        <v>0</v>
      </c>
      <c r="AE230" s="1">
        <v>379993</v>
      </c>
      <c r="AF230" s="1">
        <v>0</v>
      </c>
      <c r="AG230" s="1">
        <v>0</v>
      </c>
      <c r="AH230" s="1">
        <v>0</v>
      </c>
      <c r="AI230" s="1">
        <f>Table1[[#This Row],[NWS_pin]]*Table1[[#This Row],[Perc_pop_Northern_Aleppo]]</f>
        <v>0</v>
      </c>
      <c r="AJ230" s="1">
        <f>Table1[[#This Row],[NWS_pin]]*Table1[[#This Row],[Perc_pop_Afrin District]]</f>
        <v>0</v>
      </c>
      <c r="AK230" s="1">
        <f>Table1[[#This Row],[NWS_pin]]*Table1[[#This Row],[Perc_pop_Euphrates Shiled]]</f>
        <v>0</v>
      </c>
      <c r="AL230" s="1">
        <f>Table1[[#This Row],[NWS_pin]]*Table1[[#This Row],[Perc_Pop_Idleb_NSAG]]</f>
        <v>0</v>
      </c>
      <c r="AM230" s="4">
        <v>0.46453340703589002</v>
      </c>
      <c r="AN230" s="4">
        <v>0.53546659296411003</v>
      </c>
      <c r="AO230" s="4">
        <v>0.144944056193645</v>
      </c>
      <c r="AP230" s="4">
        <v>0.51884642434375094</v>
      </c>
      <c r="AQ230" s="4">
        <v>0.41593286743035102</v>
      </c>
      <c r="AR230" s="4">
        <v>6.3763304949324903E-3</v>
      </c>
      <c r="AS230" s="4">
        <v>1.76625217660153E-2</v>
      </c>
      <c r="AT230" s="4">
        <v>4.1181855964949901E-2</v>
      </c>
      <c r="AU230" s="4">
        <v>7.6122393006971406E-2</v>
      </c>
      <c r="AV230" s="4">
        <v>7.7491927028085897E-2</v>
      </c>
      <c r="AW230" s="4">
        <v>7.4934280969284395E-2</v>
      </c>
      <c r="AX230" s="4">
        <v>0.114224755559292</v>
      </c>
      <c r="AY230" s="4">
        <v>0.10849261495606299</v>
      </c>
      <c r="AZ230" s="4">
        <v>0.119197560285142</v>
      </c>
      <c r="BA230" s="4">
        <v>8.4775023700286001E-2</v>
      </c>
      <c r="BB230" s="4">
        <v>5.60169873369274E-2</v>
      </c>
      <c r="BC230" s="4">
        <v>0.10972348694163001</v>
      </c>
      <c r="BD230" s="4">
        <v>8.7947015452319699E-2</v>
      </c>
      <c r="BE230" s="4">
        <v>9.4978276010384E-2</v>
      </c>
      <c r="BF230" s="4">
        <v>8.1847185013385795E-2</v>
      </c>
      <c r="BG230" s="4">
        <v>9.0695656206219499E-2</v>
      </c>
      <c r="BH230" s="4">
        <v>8.8419412808460093E-2</v>
      </c>
      <c r="BI230" s="4">
        <v>9.26703659541252E-2</v>
      </c>
      <c r="BJ230" s="4">
        <v>9.7773242048315903E-2</v>
      </c>
      <c r="BK230" s="4">
        <v>7.0159853599282201E-2</v>
      </c>
      <c r="BL230" s="4">
        <v>0.121728688727125</v>
      </c>
      <c r="BM230" s="4">
        <v>2.08027927074118E-2</v>
      </c>
      <c r="BN230" s="4">
        <v>7.2518530242707997E-3</v>
      </c>
      <c r="BO230" s="4">
        <v>3.2558641274362997E-2</v>
      </c>
      <c r="BP230" s="4">
        <v>4.9640712912379099E-2</v>
      </c>
      <c r="BQ230" s="4">
        <v>3.2412441843113197E-2</v>
      </c>
      <c r="BR230" s="4">
        <v>6.4586757282471902E-2</v>
      </c>
      <c r="BS230" s="4">
        <v>6.4769163157166507E-2</v>
      </c>
      <c r="BT230" s="4">
        <v>0.109168791583257</v>
      </c>
      <c r="BU230" s="4">
        <v>2.6251147402480701E-2</v>
      </c>
      <c r="BV230" s="4">
        <v>7.99765970451526E-2</v>
      </c>
      <c r="BW230" s="4">
        <v>9.1742129443752096E-2</v>
      </c>
      <c r="BX230" s="4">
        <v>6.9769643105303605E-2</v>
      </c>
      <c r="BY230" s="4">
        <v>5.7739286559678499E-2</v>
      </c>
      <c r="BZ230" s="4">
        <v>6.6904139335312501E-2</v>
      </c>
      <c r="CA230" s="4">
        <v>4.9788500570807297E-2</v>
      </c>
      <c r="CB230" s="4">
        <v>5.1829289343382497E-2</v>
      </c>
      <c r="CC230" s="4">
        <v>5.4905277409760603E-2</v>
      </c>
      <c r="CD230" s="4">
        <v>4.91607769931224E-2</v>
      </c>
      <c r="CE230" s="4">
        <v>4.0677855805629701E-2</v>
      </c>
      <c r="CF230" s="4">
        <v>4.29147863090295E-2</v>
      </c>
      <c r="CG230" s="4">
        <v>3.8737251178374399E-2</v>
      </c>
      <c r="CH230" s="4">
        <v>3.36409167111167E-2</v>
      </c>
      <c r="CI230" s="4">
        <v>4.6344320392676101E-2</v>
      </c>
      <c r="CJ230" s="4">
        <v>2.2620331168177799E-2</v>
      </c>
      <c r="CK230" s="4">
        <v>2.4310776523791301E-2</v>
      </c>
      <c r="CL230" s="4">
        <v>1.2294201796153601E-2</v>
      </c>
      <c r="CM230" s="4">
        <v>3.4735517249876197E-2</v>
      </c>
      <c r="CN230" s="4">
        <v>1.4734529087197201E-2</v>
      </c>
      <c r="CO230" s="4">
        <v>1.9896806689519601E-2</v>
      </c>
      <c r="CP230" s="4">
        <v>1.0256097688896E-2</v>
      </c>
      <c r="CQ230" s="4">
        <v>1.03399941736892E-2</v>
      </c>
      <c r="CR230" s="4">
        <v>2.06061804339518E-2</v>
      </c>
      <c r="CS230" s="4">
        <v>1.4337681954338999E-3</v>
      </c>
      <c r="CT230" s="1">
        <f>Table1[[#This Row],[Female %]]*Table1[[#This Row],[NWS_pin]]</f>
        <v>0</v>
      </c>
      <c r="CU230" s="1">
        <f>Table1[[#This Row],[Male %]]*Table1[[#This Row],[NWS_pin]]</f>
        <v>0</v>
      </c>
      <c r="CV230" s="1">
        <f>Table1[[#This Row],[Female% (0-2)22]]+Table1[[#This Row],[Male%(0-2)3]]</f>
        <v>0</v>
      </c>
      <c r="CW230" s="1">
        <f>$CT230*Table1[[#This Row],[Female% (0-2)]]</f>
        <v>0</v>
      </c>
      <c r="CX230" s="1">
        <f>$CU230*Table1[[#This Row],[Male%(0-2)]]</f>
        <v>0</v>
      </c>
      <c r="CY230" s="1">
        <f>Table1[[#This Row],[Female%  (3-5)5]]+Table1[[#This Row],[Male% (3-5)6]]</f>
        <v>0</v>
      </c>
      <c r="CZ230" s="1">
        <f>$AF230*Table1[[#This Row],[Female%  (3-5)]]</f>
        <v>0</v>
      </c>
      <c r="DA230" s="1">
        <f>$CU230*Table1[[#This Row],[Male% (3-5)]]</f>
        <v>0</v>
      </c>
      <c r="DB230" s="1">
        <f>Table1[[#This Row],[Female% (6-8)8]]+Table1[[#This Row],[Male%(6-8)9]]</f>
        <v>0</v>
      </c>
      <c r="DC230" s="1">
        <f>$CT230*Table1[[#This Row],[Female% (6-8)]]</f>
        <v>0</v>
      </c>
      <c r="DD230" s="1">
        <f>$CU230*Table1[[#This Row],[Male%(6-8)]]</f>
        <v>0</v>
      </c>
      <c r="DE230" s="1">
        <f>Table1[[#This Row],[Female% (9 - 11)11]]+Table1[[#This Row],[Male% (9 - 11)12]]</f>
        <v>0</v>
      </c>
      <c r="DF230" s="1">
        <f>$CT230*Table1[[#This Row],[Female% (9 - 11)]]</f>
        <v>0</v>
      </c>
      <c r="DG230" s="1">
        <f>$CU230*Table1[[#This Row],[Male% (9 - 11)]]</f>
        <v>0</v>
      </c>
      <c r="DH230" s="1">
        <f>Table1[[#This Row],[Female% (12-14)14]]+Table1[[#This Row],[Male%(12-14)15]]</f>
        <v>0</v>
      </c>
      <c r="DI230" s="1">
        <f>$CT230*Table1[[#This Row],[Female% (12-14)]]</f>
        <v>0</v>
      </c>
      <c r="DJ230" s="1">
        <f>$CU230*Table1[[#This Row],[Male%(12-14)]]</f>
        <v>0</v>
      </c>
      <c r="DK230" s="1">
        <f>Table1[[#This Row],[Female% (15-17)17]]+Table1[[#This Row],[Male%(15-17)18]]</f>
        <v>0</v>
      </c>
      <c r="DL230" s="1">
        <f>$CT230*Table1[[#This Row],[Female% (15-17)]]</f>
        <v>0</v>
      </c>
      <c r="DM230" s="1">
        <f>$CU230*Table1[[#This Row],[Male%(15-17)]]</f>
        <v>0</v>
      </c>
      <c r="DN230" s="1">
        <f>$AF230*Table1[[#This Row],[Total% (18-19)]]</f>
        <v>0</v>
      </c>
      <c r="DO230" s="1">
        <f>$CT230*Table1[[#This Row],[Female% (18-19)]]</f>
        <v>0</v>
      </c>
      <c r="DP230" s="1">
        <f>$CU230*Table1[[#This Row],[Male%(18-19)]]</f>
        <v>0</v>
      </c>
      <c r="DQ230" s="1">
        <f>$AF230*Table1[[#This Row],[Total% (20-24)]]</f>
        <v>0</v>
      </c>
      <c r="DR230" s="1">
        <f>$CT230*Table1[[#This Row],[Female% (20-24)]]</f>
        <v>0</v>
      </c>
      <c r="DS230" s="1">
        <f>$CU230*Table1[[#This Row],[Male% (20-24)]]</f>
        <v>0</v>
      </c>
      <c r="DT230" s="1">
        <f>$AF230*Table1[[#This Row],[Total% (25-29)]]</f>
        <v>0</v>
      </c>
      <c r="DU230" s="1">
        <f>$CT230*Table1[[#This Row],[Female% (25-29)]]</f>
        <v>0</v>
      </c>
      <c r="DV230" s="1">
        <f>$CU230*Table1[[#This Row],[Male% (25-29)]]</f>
        <v>0</v>
      </c>
      <c r="DW230" s="1">
        <f>$AF230*Table1[[#This Row],[Total%   (30-34)]]</f>
        <v>0</v>
      </c>
      <c r="DX230" s="1">
        <f>$CT230*Table1[[#This Row],[Female%   (30-34)]]</f>
        <v>0</v>
      </c>
      <c r="DY230" s="1">
        <f>$CU230*Table1[[#This Row],[Male%  (30-34)]]</f>
        <v>0</v>
      </c>
      <c r="DZ230" s="1">
        <f>$AF230*Table1[[#This Row],[Total% (35-39)]]</f>
        <v>0</v>
      </c>
      <c r="EA230" s="1">
        <f>$CT230*Table1[[#This Row],[Female% (35-39)]]</f>
        <v>0</v>
      </c>
      <c r="EB230" s="1">
        <f>$CU230*Table1[[#This Row],[Male% (35-39)]]</f>
        <v>0</v>
      </c>
      <c r="EC230" s="1">
        <f>$AF230*Table1[[#This Row],[Total% (40-44)]]</f>
        <v>0</v>
      </c>
      <c r="ED230" s="1">
        <f>$CT230*Table1[[#This Row],[Female% (40-44)]]</f>
        <v>0</v>
      </c>
      <c r="EE230" s="1">
        <f>$CU230*Table1[[#This Row],[Male%(55-59)]]</f>
        <v>0</v>
      </c>
      <c r="EF230" s="1">
        <f>$AF230*Table1[[#This Row],[Total% (45-49)]]</f>
        <v>0</v>
      </c>
      <c r="EG230" s="1">
        <f>$CT230*Table1[[#This Row],[Female% (45-49)]]</f>
        <v>0</v>
      </c>
      <c r="EH230" s="1">
        <f>$CU230*Table1[[#This Row],[Male% (45-49)]]</f>
        <v>0</v>
      </c>
      <c r="EI230" s="1">
        <f>$AF230*Table1[[#This Row],[Total% (50-54)]]</f>
        <v>0</v>
      </c>
      <c r="EJ230" s="1">
        <f>$CT230*Table1[[#This Row],[Female%(50-54)]]</f>
        <v>0</v>
      </c>
      <c r="EK230" s="1">
        <f>$CU230*Table1[[#This Row],[Male% (50-54)]]</f>
        <v>0</v>
      </c>
      <c r="EL230" s="1">
        <f>$AF230*Table1[[#This Row],[Total% (55-59)]]</f>
        <v>0</v>
      </c>
      <c r="EM230" s="1">
        <f>$CT230*Table1[[#This Row],[Female% (55-59)]]</f>
        <v>0</v>
      </c>
      <c r="EN230" s="1">
        <f>$CU230*Table1[[#This Row],[Male% (55-59)]]</f>
        <v>0</v>
      </c>
      <c r="EO230" s="1">
        <f>$AF230*Table1[[#This Row],[Total% (60-64)]]</f>
        <v>0</v>
      </c>
      <c r="EP230" s="1">
        <f>$CT230*Table1[[#This Row],[Female%(60-64)]]</f>
        <v>0</v>
      </c>
      <c r="EQ230" s="1">
        <f>$CU230*Table1[[#This Row],[Male%(60-64)]]</f>
        <v>0</v>
      </c>
      <c r="ER230" s="1">
        <f>$AF230*Table1[[#This Row],[Total% (&gt;=65)]]</f>
        <v>0</v>
      </c>
      <c r="ES230" s="1">
        <f>$CT230*Table1[[#This Row],[Female%(&gt;=65)]]</f>
        <v>0</v>
      </c>
      <c r="ET230" s="1">
        <f>$CU230*Table1[[#This Row],[Male% (&gt;=65)]]</f>
        <v>0</v>
      </c>
    </row>
    <row r="231" spans="1:150" hidden="1" x14ac:dyDescent="0.35">
      <c r="A231" t="s">
        <v>200</v>
      </c>
      <c r="B231" t="s">
        <v>201</v>
      </c>
      <c r="C231" t="s">
        <v>200</v>
      </c>
      <c r="D231" t="s">
        <v>288</v>
      </c>
      <c r="E231" t="s">
        <v>470</v>
      </c>
      <c r="F231" t="s">
        <v>471</v>
      </c>
      <c r="H231">
        <v>4</v>
      </c>
      <c r="I231" s="1">
        <v>0</v>
      </c>
      <c r="J231" s="1">
        <v>0</v>
      </c>
      <c r="K231" s="1">
        <v>9082</v>
      </c>
      <c r="L231" s="1">
        <v>19811</v>
      </c>
      <c r="M231" s="1">
        <v>0</v>
      </c>
      <c r="N231" s="1">
        <v>28893</v>
      </c>
      <c r="O231" s="3">
        <v>0.86</v>
      </c>
      <c r="P231" s="3">
        <v>0.14000000000000001</v>
      </c>
      <c r="Q231" s="3">
        <v>0</v>
      </c>
      <c r="R231" s="3">
        <v>0</v>
      </c>
      <c r="S231" s="3">
        <v>0</v>
      </c>
      <c r="T231" s="1">
        <v>28893</v>
      </c>
      <c r="U231" s="1">
        <v>0</v>
      </c>
      <c r="V231" s="10">
        <f>Table1[[#This Row],[Pop NW+RATAA]]*Table1[[#This Row],[Perc_pop_Northern_Aleppo]]</f>
        <v>0</v>
      </c>
      <c r="W231" s="10">
        <f>Table1[[#This Row],[Pop NW+RATAA]]*Table1[[#This Row],[Perc_pop_Afrin District]]</f>
        <v>0</v>
      </c>
      <c r="X231" s="10">
        <f>Table1[[#This Row],[Pop NW+RATAA]]*Table1[[#This Row],[Perc_pop_Euphrates Shiled]]</f>
        <v>0</v>
      </c>
      <c r="Y231" s="10">
        <f>Table1[[#This Row],[Pop NW+RATAA]]*Table1[[#This Row],[Perc_Pop_Idleb_NSAG]]</f>
        <v>0</v>
      </c>
      <c r="Z231" s="3">
        <v>0</v>
      </c>
      <c r="AA231" s="3">
        <v>0</v>
      </c>
      <c r="AB231" s="3">
        <v>0</v>
      </c>
      <c r="AC231" s="3">
        <v>0</v>
      </c>
      <c r="AD231" s="1">
        <v>24847.98</v>
      </c>
      <c r="AE231" s="1">
        <v>4045.0200000000004</v>
      </c>
      <c r="AF231" s="1">
        <v>0</v>
      </c>
      <c r="AG231" s="1">
        <v>0</v>
      </c>
      <c r="AH231" s="1">
        <v>0</v>
      </c>
      <c r="AI231" s="1">
        <f>Table1[[#This Row],[NWS_pin]]*Table1[[#This Row],[Perc_pop_Northern_Aleppo]]</f>
        <v>0</v>
      </c>
      <c r="AJ231" s="1">
        <f>Table1[[#This Row],[NWS_pin]]*Table1[[#This Row],[Perc_pop_Afrin District]]</f>
        <v>0</v>
      </c>
      <c r="AK231" s="1">
        <f>Table1[[#This Row],[NWS_pin]]*Table1[[#This Row],[Perc_pop_Euphrates Shiled]]</f>
        <v>0</v>
      </c>
      <c r="AL231" s="1">
        <f>Table1[[#This Row],[NWS_pin]]*Table1[[#This Row],[Perc_Pop_Idleb_NSAG]]</f>
        <v>0</v>
      </c>
      <c r="AM231" s="4">
        <v>0.50739758112871602</v>
      </c>
      <c r="AN231" s="4">
        <v>0.49260241887128398</v>
      </c>
      <c r="AO231" s="4">
        <v>0.189835988882986</v>
      </c>
      <c r="AP231" s="4">
        <v>0.50599915784160698</v>
      </c>
      <c r="AQ231" s="4">
        <v>0.45460773973630703</v>
      </c>
      <c r="AR231" s="4">
        <v>2.7215310886741198E-3</v>
      </c>
      <c r="AS231" s="4">
        <v>2.7485151079669101E-3</v>
      </c>
      <c r="AT231" s="4">
        <v>3.3923056225444503E-2</v>
      </c>
      <c r="AU231" s="4">
        <v>9.26599603731834E-2</v>
      </c>
      <c r="AV231" s="4">
        <v>8.5685223795310697E-2</v>
      </c>
      <c r="AW231" s="4">
        <v>9.98441810206004E-2</v>
      </c>
      <c r="AX231" s="4">
        <v>0.14254302055889501</v>
      </c>
      <c r="AY231" s="4">
        <v>0.120049280294797</v>
      </c>
      <c r="AZ231" s="4">
        <v>0.16571235339873799</v>
      </c>
      <c r="BA231" s="4">
        <v>0.119119424711755</v>
      </c>
      <c r="BB231" s="4">
        <v>0.115629433058573</v>
      </c>
      <c r="BC231" s="4">
        <v>0.12271423719164801</v>
      </c>
      <c r="BD231" s="4">
        <v>8.6496245551402298E-2</v>
      </c>
      <c r="BE231" s="4">
        <v>7.1466293088041394E-2</v>
      </c>
      <c r="BF231" s="4">
        <v>0.101977618017788</v>
      </c>
      <c r="BG231" s="4">
        <v>8.15753237964634E-2</v>
      </c>
      <c r="BH231" s="4">
        <v>6.8466498602597403E-2</v>
      </c>
      <c r="BI231" s="4">
        <v>9.5077868526242296E-2</v>
      </c>
      <c r="BJ231" s="4">
        <v>7.0343601170761397E-2</v>
      </c>
      <c r="BK231" s="4">
        <v>7.6557193072212606E-2</v>
      </c>
      <c r="BL231" s="4">
        <v>6.3943385946196904E-2</v>
      </c>
      <c r="BM231" s="4">
        <v>3.49596280526085E-2</v>
      </c>
      <c r="BN231" s="4">
        <v>3.5226759378706798E-2</v>
      </c>
      <c r="BO231" s="4">
        <v>3.4684473519229299E-2</v>
      </c>
      <c r="BP231" s="4">
        <v>4.5286508228365899E-2</v>
      </c>
      <c r="BQ231" s="4">
        <v>4.9923589507134901E-2</v>
      </c>
      <c r="BR231" s="4">
        <v>4.0510153638520903E-2</v>
      </c>
      <c r="BS231" s="4">
        <v>5.7255119889273502E-2</v>
      </c>
      <c r="BT231" s="4">
        <v>9.6141524777901402E-2</v>
      </c>
      <c r="BU231" s="4">
        <v>1.7200773780921899E-2</v>
      </c>
      <c r="BV231" s="4">
        <v>7.7041329506227801E-2</v>
      </c>
      <c r="BW231" s="4">
        <v>8.4602601952630502E-2</v>
      </c>
      <c r="BX231" s="4">
        <v>6.9252956565731993E-2</v>
      </c>
      <c r="BY231" s="4">
        <v>4.56025029405547E-2</v>
      </c>
      <c r="BZ231" s="4">
        <v>4.9517551588137698E-2</v>
      </c>
      <c r="CA231" s="4">
        <v>4.15698670100682E-2</v>
      </c>
      <c r="CB231" s="4">
        <v>3.4269472142063002E-2</v>
      </c>
      <c r="CC231" s="4">
        <v>3.3627461508197801E-2</v>
      </c>
      <c r="CD231" s="4">
        <v>3.4930765368004803E-2</v>
      </c>
      <c r="CE231" s="4">
        <v>1.7495375690299401E-2</v>
      </c>
      <c r="CF231" s="4">
        <v>1.0260695841755501E-2</v>
      </c>
      <c r="CG231" s="4">
        <v>2.4947346924632699E-2</v>
      </c>
      <c r="CH231" s="4">
        <v>2.15535155479906E-2</v>
      </c>
      <c r="CI231" s="4">
        <v>2.7198060778543798E-2</v>
      </c>
      <c r="CJ231" s="4">
        <v>1.5739438136197201E-2</v>
      </c>
      <c r="CK231" s="4">
        <v>2.0831451376605199E-2</v>
      </c>
      <c r="CL231" s="4">
        <v>2.1520724819278698E-2</v>
      </c>
      <c r="CM231" s="4">
        <v>2.0121475817918101E-2</v>
      </c>
      <c r="CN231" s="4">
        <v>1.4533290886731901E-2</v>
      </c>
      <c r="CO231" s="4">
        <v>1.39039017906036E-2</v>
      </c>
      <c r="CP231" s="4">
        <v>1.5181583490929899E-2</v>
      </c>
      <c r="CQ231" s="4">
        <v>3.8434229576819197E-2</v>
      </c>
      <c r="CR231" s="4">
        <v>4.0223206145576999E-2</v>
      </c>
      <c r="CS231" s="4">
        <v>3.6591521646631799E-2</v>
      </c>
      <c r="CT231" s="1">
        <f>Table1[[#This Row],[Female %]]*Table1[[#This Row],[NWS_pin]]</f>
        <v>0</v>
      </c>
      <c r="CU231" s="1">
        <f>Table1[[#This Row],[Male %]]*Table1[[#This Row],[NWS_pin]]</f>
        <v>0</v>
      </c>
      <c r="CV231" s="1">
        <f>Table1[[#This Row],[Female% (0-2)22]]+Table1[[#This Row],[Male%(0-2)3]]</f>
        <v>0</v>
      </c>
      <c r="CW231" s="1">
        <f>$CT231*Table1[[#This Row],[Female% (0-2)]]</f>
        <v>0</v>
      </c>
      <c r="CX231" s="1">
        <f>$CU231*Table1[[#This Row],[Male%(0-2)]]</f>
        <v>0</v>
      </c>
      <c r="CY231" s="1">
        <f>Table1[[#This Row],[Female%  (3-5)5]]+Table1[[#This Row],[Male% (3-5)6]]</f>
        <v>0</v>
      </c>
      <c r="CZ231" s="1">
        <f>$AF231*Table1[[#This Row],[Female%  (3-5)]]</f>
        <v>0</v>
      </c>
      <c r="DA231" s="1">
        <f>$CU231*Table1[[#This Row],[Male% (3-5)]]</f>
        <v>0</v>
      </c>
      <c r="DB231" s="1">
        <f>Table1[[#This Row],[Female% (6-8)8]]+Table1[[#This Row],[Male%(6-8)9]]</f>
        <v>0</v>
      </c>
      <c r="DC231" s="1">
        <f>$CT231*Table1[[#This Row],[Female% (6-8)]]</f>
        <v>0</v>
      </c>
      <c r="DD231" s="1">
        <f>$CU231*Table1[[#This Row],[Male%(6-8)]]</f>
        <v>0</v>
      </c>
      <c r="DE231" s="1">
        <f>Table1[[#This Row],[Female% (9 - 11)11]]+Table1[[#This Row],[Male% (9 - 11)12]]</f>
        <v>0</v>
      </c>
      <c r="DF231" s="1">
        <f>$CT231*Table1[[#This Row],[Female% (9 - 11)]]</f>
        <v>0</v>
      </c>
      <c r="DG231" s="1">
        <f>$CU231*Table1[[#This Row],[Male% (9 - 11)]]</f>
        <v>0</v>
      </c>
      <c r="DH231" s="1">
        <f>Table1[[#This Row],[Female% (12-14)14]]+Table1[[#This Row],[Male%(12-14)15]]</f>
        <v>0</v>
      </c>
      <c r="DI231" s="1">
        <f>$CT231*Table1[[#This Row],[Female% (12-14)]]</f>
        <v>0</v>
      </c>
      <c r="DJ231" s="1">
        <f>$CU231*Table1[[#This Row],[Male%(12-14)]]</f>
        <v>0</v>
      </c>
      <c r="DK231" s="1">
        <f>Table1[[#This Row],[Female% (15-17)17]]+Table1[[#This Row],[Male%(15-17)18]]</f>
        <v>0</v>
      </c>
      <c r="DL231" s="1">
        <f>$CT231*Table1[[#This Row],[Female% (15-17)]]</f>
        <v>0</v>
      </c>
      <c r="DM231" s="1">
        <f>$CU231*Table1[[#This Row],[Male%(15-17)]]</f>
        <v>0</v>
      </c>
      <c r="DN231" s="1">
        <f>$AF231*Table1[[#This Row],[Total% (18-19)]]</f>
        <v>0</v>
      </c>
      <c r="DO231" s="1">
        <f>$CT231*Table1[[#This Row],[Female% (18-19)]]</f>
        <v>0</v>
      </c>
      <c r="DP231" s="1">
        <f>$CU231*Table1[[#This Row],[Male%(18-19)]]</f>
        <v>0</v>
      </c>
      <c r="DQ231" s="1">
        <f>$AF231*Table1[[#This Row],[Total% (20-24)]]</f>
        <v>0</v>
      </c>
      <c r="DR231" s="1">
        <f>$CT231*Table1[[#This Row],[Female% (20-24)]]</f>
        <v>0</v>
      </c>
      <c r="DS231" s="1">
        <f>$CU231*Table1[[#This Row],[Male% (20-24)]]</f>
        <v>0</v>
      </c>
      <c r="DT231" s="1">
        <f>$AF231*Table1[[#This Row],[Total% (25-29)]]</f>
        <v>0</v>
      </c>
      <c r="DU231" s="1">
        <f>$CT231*Table1[[#This Row],[Female% (25-29)]]</f>
        <v>0</v>
      </c>
      <c r="DV231" s="1">
        <f>$CU231*Table1[[#This Row],[Male% (25-29)]]</f>
        <v>0</v>
      </c>
      <c r="DW231" s="1">
        <f>$AF231*Table1[[#This Row],[Total%   (30-34)]]</f>
        <v>0</v>
      </c>
      <c r="DX231" s="1">
        <f>$CT231*Table1[[#This Row],[Female%   (30-34)]]</f>
        <v>0</v>
      </c>
      <c r="DY231" s="1">
        <f>$CU231*Table1[[#This Row],[Male%  (30-34)]]</f>
        <v>0</v>
      </c>
      <c r="DZ231" s="1">
        <f>$AF231*Table1[[#This Row],[Total% (35-39)]]</f>
        <v>0</v>
      </c>
      <c r="EA231" s="1">
        <f>$CT231*Table1[[#This Row],[Female% (35-39)]]</f>
        <v>0</v>
      </c>
      <c r="EB231" s="1">
        <f>$CU231*Table1[[#This Row],[Male% (35-39)]]</f>
        <v>0</v>
      </c>
      <c r="EC231" s="1">
        <f>$AF231*Table1[[#This Row],[Total% (40-44)]]</f>
        <v>0</v>
      </c>
      <c r="ED231" s="1">
        <f>$CT231*Table1[[#This Row],[Female% (40-44)]]</f>
        <v>0</v>
      </c>
      <c r="EE231" s="1">
        <f>$CU231*Table1[[#This Row],[Male%(55-59)]]</f>
        <v>0</v>
      </c>
      <c r="EF231" s="1">
        <f>$AF231*Table1[[#This Row],[Total% (45-49)]]</f>
        <v>0</v>
      </c>
      <c r="EG231" s="1">
        <f>$CT231*Table1[[#This Row],[Female% (45-49)]]</f>
        <v>0</v>
      </c>
      <c r="EH231" s="1">
        <f>$CU231*Table1[[#This Row],[Male% (45-49)]]</f>
        <v>0</v>
      </c>
      <c r="EI231" s="1">
        <f>$AF231*Table1[[#This Row],[Total% (50-54)]]</f>
        <v>0</v>
      </c>
      <c r="EJ231" s="1">
        <f>$CT231*Table1[[#This Row],[Female%(50-54)]]</f>
        <v>0</v>
      </c>
      <c r="EK231" s="1">
        <f>$CU231*Table1[[#This Row],[Male% (50-54)]]</f>
        <v>0</v>
      </c>
      <c r="EL231" s="1">
        <f>$AF231*Table1[[#This Row],[Total% (55-59)]]</f>
        <v>0</v>
      </c>
      <c r="EM231" s="1">
        <f>$CT231*Table1[[#This Row],[Female% (55-59)]]</f>
        <v>0</v>
      </c>
      <c r="EN231" s="1">
        <f>$CU231*Table1[[#This Row],[Male% (55-59)]]</f>
        <v>0</v>
      </c>
      <c r="EO231" s="1">
        <f>$AF231*Table1[[#This Row],[Total% (60-64)]]</f>
        <v>0</v>
      </c>
      <c r="EP231" s="1">
        <f>$CT231*Table1[[#This Row],[Female%(60-64)]]</f>
        <v>0</v>
      </c>
      <c r="EQ231" s="1">
        <f>$CU231*Table1[[#This Row],[Male%(60-64)]]</f>
        <v>0</v>
      </c>
      <c r="ER231" s="1">
        <f>$AF231*Table1[[#This Row],[Total% (&gt;=65)]]</f>
        <v>0</v>
      </c>
      <c r="ES231" s="1">
        <f>$CT231*Table1[[#This Row],[Female%(&gt;=65)]]</f>
        <v>0</v>
      </c>
      <c r="ET231" s="1">
        <f>$CU231*Table1[[#This Row],[Male% (&gt;=65)]]</f>
        <v>0</v>
      </c>
    </row>
    <row r="232" spans="1:150" hidden="1" x14ac:dyDescent="0.35">
      <c r="A232" t="s">
        <v>200</v>
      </c>
      <c r="B232" t="s">
        <v>201</v>
      </c>
      <c r="C232" t="s">
        <v>200</v>
      </c>
      <c r="D232" t="s">
        <v>288</v>
      </c>
      <c r="E232" t="s">
        <v>465</v>
      </c>
      <c r="F232" t="s">
        <v>466</v>
      </c>
      <c r="H232">
        <v>3</v>
      </c>
      <c r="I232" s="1">
        <v>0</v>
      </c>
      <c r="J232" s="1">
        <v>4374</v>
      </c>
      <c r="K232" s="1">
        <v>48273</v>
      </c>
      <c r="L232" s="1">
        <v>0</v>
      </c>
      <c r="M232" s="1">
        <v>0</v>
      </c>
      <c r="N232" s="1">
        <v>48273</v>
      </c>
      <c r="O232" s="3">
        <v>0</v>
      </c>
      <c r="P232" s="3">
        <v>1</v>
      </c>
      <c r="Q232" s="3">
        <v>0</v>
      </c>
      <c r="R232" s="3">
        <v>0</v>
      </c>
      <c r="S232" s="3">
        <v>0</v>
      </c>
      <c r="T232" s="1">
        <v>52647</v>
      </c>
      <c r="U232" s="1">
        <v>0</v>
      </c>
      <c r="V232" s="10">
        <f>Table1[[#This Row],[Pop NW+RATAA]]*Table1[[#This Row],[Perc_pop_Northern_Aleppo]]</f>
        <v>0</v>
      </c>
      <c r="W232" s="10">
        <f>Table1[[#This Row],[Pop NW+RATAA]]*Table1[[#This Row],[Perc_pop_Afrin District]]</f>
        <v>0</v>
      </c>
      <c r="X232" s="10">
        <f>Table1[[#This Row],[Pop NW+RATAA]]*Table1[[#This Row],[Perc_pop_Euphrates Shiled]]</f>
        <v>0</v>
      </c>
      <c r="Y232" s="10">
        <f>Table1[[#This Row],[Pop NW+RATAA]]*Table1[[#This Row],[Perc_Pop_Idleb_NSAG]]</f>
        <v>0</v>
      </c>
      <c r="Z232" s="3">
        <v>0</v>
      </c>
      <c r="AA232" s="3">
        <v>0</v>
      </c>
      <c r="AB232" s="3">
        <v>0</v>
      </c>
      <c r="AC232" s="3">
        <v>0</v>
      </c>
      <c r="AD232" s="1">
        <v>0</v>
      </c>
      <c r="AE232" s="1">
        <v>48273</v>
      </c>
      <c r="AF232" s="1">
        <v>0</v>
      </c>
      <c r="AG232" s="1">
        <v>0</v>
      </c>
      <c r="AH232" s="1">
        <v>0</v>
      </c>
      <c r="AI232" s="1">
        <f>Table1[[#This Row],[NWS_pin]]*Table1[[#This Row],[Perc_pop_Northern_Aleppo]]</f>
        <v>0</v>
      </c>
      <c r="AJ232" s="1">
        <f>Table1[[#This Row],[NWS_pin]]*Table1[[#This Row],[Perc_pop_Afrin District]]</f>
        <v>0</v>
      </c>
      <c r="AK232" s="1">
        <f>Table1[[#This Row],[NWS_pin]]*Table1[[#This Row],[Perc_pop_Euphrates Shiled]]</f>
        <v>0</v>
      </c>
      <c r="AL232" s="1">
        <f>Table1[[#This Row],[NWS_pin]]*Table1[[#This Row],[Perc_Pop_Idleb_NSAG]]</f>
        <v>0</v>
      </c>
      <c r="AM232" s="4">
        <v>0.49819660492101397</v>
      </c>
      <c r="AN232" s="4">
        <v>0.50180339507898597</v>
      </c>
      <c r="AO232" s="4">
        <v>1.28290728729493E-2</v>
      </c>
      <c r="AP232" s="4">
        <v>0.37101434810698503</v>
      </c>
      <c r="AQ232" s="4">
        <v>0.52369133066175</v>
      </c>
      <c r="AR232" s="4">
        <v>2.2159831572919599E-2</v>
      </c>
      <c r="AS232" s="4">
        <v>0</v>
      </c>
      <c r="AT232" s="4">
        <v>8.3134489658345606E-2</v>
      </c>
      <c r="AU232" s="4">
        <v>9.1547411455581401E-2</v>
      </c>
      <c r="AV232" s="4">
        <v>8.9056358455580506E-2</v>
      </c>
      <c r="AW232" s="4">
        <v>9.4020559623666899E-2</v>
      </c>
      <c r="AX232" s="4">
        <v>0.14229824511507799</v>
      </c>
      <c r="AY232" s="4">
        <v>0.10793972648986699</v>
      </c>
      <c r="AZ232" s="4">
        <v>0.17640980652948701</v>
      </c>
      <c r="BA232" s="4">
        <v>0.102594338938185</v>
      </c>
      <c r="BB232" s="4">
        <v>0.10486414848728499</v>
      </c>
      <c r="BC232" s="4">
        <v>0.10034084399919301</v>
      </c>
      <c r="BD232" s="4">
        <v>5.7154406566064603E-2</v>
      </c>
      <c r="BE232" s="4">
        <v>3.2545541441015499E-2</v>
      </c>
      <c r="BF232" s="4">
        <v>8.1586391635294297E-2</v>
      </c>
      <c r="BG232" s="4">
        <v>4.4844099692564802E-2</v>
      </c>
      <c r="BH232" s="4">
        <v>3.2894406406584697E-2</v>
      </c>
      <c r="BI232" s="4">
        <v>5.67079026945067E-2</v>
      </c>
      <c r="BJ232" s="4">
        <v>3.8642577201090302E-2</v>
      </c>
      <c r="BK232" s="4">
        <v>3.7398712655914802E-2</v>
      </c>
      <c r="BL232" s="4">
        <v>3.9877501275867699E-2</v>
      </c>
      <c r="BM232" s="4">
        <v>1.12737424554356E-2</v>
      </c>
      <c r="BN232" s="4">
        <v>1.6100215247742002E-2</v>
      </c>
      <c r="BO232" s="4">
        <v>6.4819606890084199E-3</v>
      </c>
      <c r="BP232" s="4">
        <v>6.7532110570396806E-2</v>
      </c>
      <c r="BQ232" s="4">
        <v>8.0398164310091405E-2</v>
      </c>
      <c r="BR232" s="4">
        <v>5.47585335984071E-2</v>
      </c>
      <c r="BS232" s="4">
        <v>0.12942776910480799</v>
      </c>
      <c r="BT232" s="4">
        <v>0.16495500612811401</v>
      </c>
      <c r="BU232" s="4">
        <v>9.4155889638051896E-2</v>
      </c>
      <c r="BV232" s="4">
        <v>8.8310477387798306E-2</v>
      </c>
      <c r="BW232" s="4">
        <v>8.3950891204356906E-2</v>
      </c>
      <c r="BX232" s="4">
        <v>9.2638728365672204E-2</v>
      </c>
      <c r="BY232" s="4">
        <v>5.3105336884725698E-2</v>
      </c>
      <c r="BZ232" s="4">
        <v>5.8775915035911799E-2</v>
      </c>
      <c r="CA232" s="4">
        <v>4.7475516898323501E-2</v>
      </c>
      <c r="CB232" s="4">
        <v>4.4793409738443098E-2</v>
      </c>
      <c r="CC232" s="4">
        <v>3.63787842463714E-2</v>
      </c>
      <c r="CD232" s="4">
        <v>5.3147553797536197E-2</v>
      </c>
      <c r="CE232" s="4">
        <v>2.5960028069078399E-2</v>
      </c>
      <c r="CF232" s="4">
        <v>2.2244510457664301E-2</v>
      </c>
      <c r="CG232" s="4">
        <v>2.9648839818228599E-2</v>
      </c>
      <c r="CH232" s="4">
        <v>2.25122728053362E-2</v>
      </c>
      <c r="CI232" s="4">
        <v>2.4363590044442399E-2</v>
      </c>
      <c r="CJ232" s="4">
        <v>2.06742621975975E-2</v>
      </c>
      <c r="CK232" s="4">
        <v>2.48322733264238E-2</v>
      </c>
      <c r="CL232" s="4">
        <v>3.2777772887483403E-2</v>
      </c>
      <c r="CM232" s="4">
        <v>1.6943883282553501E-2</v>
      </c>
      <c r="CN232" s="4">
        <v>2.1832795252376299E-2</v>
      </c>
      <c r="CO232" s="4">
        <v>2.6076199875418302E-2</v>
      </c>
      <c r="CP232" s="4">
        <v>1.7619890761818E-2</v>
      </c>
      <c r="CQ232" s="4">
        <v>3.33387054366137E-2</v>
      </c>
      <c r="CR232" s="4">
        <v>4.9280056626156102E-2</v>
      </c>
      <c r="CS232" s="4">
        <v>1.75119351947872E-2</v>
      </c>
      <c r="CT232" s="1">
        <f>Table1[[#This Row],[Female %]]*Table1[[#This Row],[NWS_pin]]</f>
        <v>0</v>
      </c>
      <c r="CU232" s="1">
        <f>Table1[[#This Row],[Male %]]*Table1[[#This Row],[NWS_pin]]</f>
        <v>0</v>
      </c>
      <c r="CV232" s="1">
        <f>Table1[[#This Row],[Female% (0-2)22]]+Table1[[#This Row],[Male%(0-2)3]]</f>
        <v>0</v>
      </c>
      <c r="CW232" s="1">
        <f>$CT232*Table1[[#This Row],[Female% (0-2)]]</f>
        <v>0</v>
      </c>
      <c r="CX232" s="1">
        <f>$CU232*Table1[[#This Row],[Male%(0-2)]]</f>
        <v>0</v>
      </c>
      <c r="CY232" s="1">
        <f>Table1[[#This Row],[Female%  (3-5)5]]+Table1[[#This Row],[Male% (3-5)6]]</f>
        <v>0</v>
      </c>
      <c r="CZ232" s="1">
        <f>$AF232*Table1[[#This Row],[Female%  (3-5)]]</f>
        <v>0</v>
      </c>
      <c r="DA232" s="1">
        <f>$CU232*Table1[[#This Row],[Male% (3-5)]]</f>
        <v>0</v>
      </c>
      <c r="DB232" s="1">
        <f>Table1[[#This Row],[Female% (6-8)8]]+Table1[[#This Row],[Male%(6-8)9]]</f>
        <v>0</v>
      </c>
      <c r="DC232" s="1">
        <f>$CT232*Table1[[#This Row],[Female% (6-8)]]</f>
        <v>0</v>
      </c>
      <c r="DD232" s="1">
        <f>$CU232*Table1[[#This Row],[Male%(6-8)]]</f>
        <v>0</v>
      </c>
      <c r="DE232" s="1">
        <f>Table1[[#This Row],[Female% (9 - 11)11]]+Table1[[#This Row],[Male% (9 - 11)12]]</f>
        <v>0</v>
      </c>
      <c r="DF232" s="1">
        <f>$CT232*Table1[[#This Row],[Female% (9 - 11)]]</f>
        <v>0</v>
      </c>
      <c r="DG232" s="1">
        <f>$CU232*Table1[[#This Row],[Male% (9 - 11)]]</f>
        <v>0</v>
      </c>
      <c r="DH232" s="1">
        <f>Table1[[#This Row],[Female% (12-14)14]]+Table1[[#This Row],[Male%(12-14)15]]</f>
        <v>0</v>
      </c>
      <c r="DI232" s="1">
        <f>$CT232*Table1[[#This Row],[Female% (12-14)]]</f>
        <v>0</v>
      </c>
      <c r="DJ232" s="1">
        <f>$CU232*Table1[[#This Row],[Male%(12-14)]]</f>
        <v>0</v>
      </c>
      <c r="DK232" s="1">
        <f>Table1[[#This Row],[Female% (15-17)17]]+Table1[[#This Row],[Male%(15-17)18]]</f>
        <v>0</v>
      </c>
      <c r="DL232" s="1">
        <f>$CT232*Table1[[#This Row],[Female% (15-17)]]</f>
        <v>0</v>
      </c>
      <c r="DM232" s="1">
        <f>$CU232*Table1[[#This Row],[Male%(15-17)]]</f>
        <v>0</v>
      </c>
      <c r="DN232" s="1">
        <f>$AF232*Table1[[#This Row],[Total% (18-19)]]</f>
        <v>0</v>
      </c>
      <c r="DO232" s="1">
        <f>$CT232*Table1[[#This Row],[Female% (18-19)]]</f>
        <v>0</v>
      </c>
      <c r="DP232" s="1">
        <f>$CU232*Table1[[#This Row],[Male%(18-19)]]</f>
        <v>0</v>
      </c>
      <c r="DQ232" s="1">
        <f>$AF232*Table1[[#This Row],[Total% (20-24)]]</f>
        <v>0</v>
      </c>
      <c r="DR232" s="1">
        <f>$CT232*Table1[[#This Row],[Female% (20-24)]]</f>
        <v>0</v>
      </c>
      <c r="DS232" s="1">
        <f>$CU232*Table1[[#This Row],[Male% (20-24)]]</f>
        <v>0</v>
      </c>
      <c r="DT232" s="1">
        <f>$AF232*Table1[[#This Row],[Total% (25-29)]]</f>
        <v>0</v>
      </c>
      <c r="DU232" s="1">
        <f>$CT232*Table1[[#This Row],[Female% (25-29)]]</f>
        <v>0</v>
      </c>
      <c r="DV232" s="1">
        <f>$CU232*Table1[[#This Row],[Male% (25-29)]]</f>
        <v>0</v>
      </c>
      <c r="DW232" s="1">
        <f>$AF232*Table1[[#This Row],[Total%   (30-34)]]</f>
        <v>0</v>
      </c>
      <c r="DX232" s="1">
        <f>$CT232*Table1[[#This Row],[Female%   (30-34)]]</f>
        <v>0</v>
      </c>
      <c r="DY232" s="1">
        <f>$CU232*Table1[[#This Row],[Male%  (30-34)]]</f>
        <v>0</v>
      </c>
      <c r="DZ232" s="1">
        <f>$AF232*Table1[[#This Row],[Total% (35-39)]]</f>
        <v>0</v>
      </c>
      <c r="EA232" s="1">
        <f>$CT232*Table1[[#This Row],[Female% (35-39)]]</f>
        <v>0</v>
      </c>
      <c r="EB232" s="1">
        <f>$CU232*Table1[[#This Row],[Male% (35-39)]]</f>
        <v>0</v>
      </c>
      <c r="EC232" s="1">
        <f>$AF232*Table1[[#This Row],[Total% (40-44)]]</f>
        <v>0</v>
      </c>
      <c r="ED232" s="1">
        <f>$CT232*Table1[[#This Row],[Female% (40-44)]]</f>
        <v>0</v>
      </c>
      <c r="EE232" s="1">
        <f>$CU232*Table1[[#This Row],[Male%(55-59)]]</f>
        <v>0</v>
      </c>
      <c r="EF232" s="1">
        <f>$AF232*Table1[[#This Row],[Total% (45-49)]]</f>
        <v>0</v>
      </c>
      <c r="EG232" s="1">
        <f>$CT232*Table1[[#This Row],[Female% (45-49)]]</f>
        <v>0</v>
      </c>
      <c r="EH232" s="1">
        <f>$CU232*Table1[[#This Row],[Male% (45-49)]]</f>
        <v>0</v>
      </c>
      <c r="EI232" s="1">
        <f>$AF232*Table1[[#This Row],[Total% (50-54)]]</f>
        <v>0</v>
      </c>
      <c r="EJ232" s="1">
        <f>$CT232*Table1[[#This Row],[Female%(50-54)]]</f>
        <v>0</v>
      </c>
      <c r="EK232" s="1">
        <f>$CU232*Table1[[#This Row],[Male% (50-54)]]</f>
        <v>0</v>
      </c>
      <c r="EL232" s="1">
        <f>$AF232*Table1[[#This Row],[Total% (55-59)]]</f>
        <v>0</v>
      </c>
      <c r="EM232" s="1">
        <f>$CT232*Table1[[#This Row],[Female% (55-59)]]</f>
        <v>0</v>
      </c>
      <c r="EN232" s="1">
        <f>$CU232*Table1[[#This Row],[Male% (55-59)]]</f>
        <v>0</v>
      </c>
      <c r="EO232" s="1">
        <f>$AF232*Table1[[#This Row],[Total% (60-64)]]</f>
        <v>0</v>
      </c>
      <c r="EP232" s="1">
        <f>$CT232*Table1[[#This Row],[Female%(60-64)]]</f>
        <v>0</v>
      </c>
      <c r="EQ232" s="1">
        <f>$CU232*Table1[[#This Row],[Male%(60-64)]]</f>
        <v>0</v>
      </c>
      <c r="ER232" s="1">
        <f>$AF232*Table1[[#This Row],[Total% (&gt;=65)]]</f>
        <v>0</v>
      </c>
      <c r="ES232" s="1">
        <f>$CT232*Table1[[#This Row],[Female%(&gt;=65)]]</f>
        <v>0</v>
      </c>
      <c r="ET232" s="1">
        <f>$CU232*Table1[[#This Row],[Male% (&gt;=65)]]</f>
        <v>0</v>
      </c>
    </row>
    <row r="233" spans="1:150" hidden="1" x14ac:dyDescent="0.35">
      <c r="A233" t="s">
        <v>200</v>
      </c>
      <c r="B233" t="s">
        <v>201</v>
      </c>
      <c r="C233" t="s">
        <v>200</v>
      </c>
      <c r="D233" t="s">
        <v>288</v>
      </c>
      <c r="E233" t="s">
        <v>448</v>
      </c>
      <c r="F233" t="s">
        <v>449</v>
      </c>
      <c r="H233">
        <v>4</v>
      </c>
      <c r="I233" s="1">
        <v>0</v>
      </c>
      <c r="J233" s="1">
        <v>0</v>
      </c>
      <c r="K233" s="1">
        <v>2250</v>
      </c>
      <c r="L233" s="1">
        <v>11250</v>
      </c>
      <c r="M233" s="1">
        <v>703</v>
      </c>
      <c r="N233" s="1">
        <v>14203</v>
      </c>
      <c r="O233" s="3">
        <v>0.89</v>
      </c>
      <c r="P233" s="3">
        <v>0.11</v>
      </c>
      <c r="Q233" s="3">
        <v>0</v>
      </c>
      <c r="R233" s="3">
        <v>0</v>
      </c>
      <c r="S233" s="3">
        <v>0</v>
      </c>
      <c r="T233" s="1">
        <v>14203</v>
      </c>
      <c r="U233" s="1">
        <v>0</v>
      </c>
      <c r="V233" s="10">
        <f>Table1[[#This Row],[Pop NW+RATAA]]*Table1[[#This Row],[Perc_pop_Northern_Aleppo]]</f>
        <v>0</v>
      </c>
      <c r="W233" s="10">
        <f>Table1[[#This Row],[Pop NW+RATAA]]*Table1[[#This Row],[Perc_pop_Afrin District]]</f>
        <v>0</v>
      </c>
      <c r="X233" s="10">
        <f>Table1[[#This Row],[Pop NW+RATAA]]*Table1[[#This Row],[Perc_pop_Euphrates Shiled]]</f>
        <v>0</v>
      </c>
      <c r="Y233" s="10">
        <f>Table1[[#This Row],[Pop NW+RATAA]]*Table1[[#This Row],[Perc_Pop_Idleb_NSAG]]</f>
        <v>0</v>
      </c>
      <c r="Z233" s="3">
        <v>0</v>
      </c>
      <c r="AA233" s="3">
        <v>0</v>
      </c>
      <c r="AB233" s="3">
        <v>0</v>
      </c>
      <c r="AC233" s="3">
        <v>0</v>
      </c>
      <c r="AD233" s="1">
        <v>12640.67</v>
      </c>
      <c r="AE233" s="1">
        <v>1562.33</v>
      </c>
      <c r="AF233" s="1">
        <v>0</v>
      </c>
      <c r="AG233" s="1">
        <v>0</v>
      </c>
      <c r="AH233" s="1">
        <v>0</v>
      </c>
      <c r="AI233" s="1">
        <f>Table1[[#This Row],[NWS_pin]]*Table1[[#This Row],[Perc_pop_Northern_Aleppo]]</f>
        <v>0</v>
      </c>
      <c r="AJ233" s="1">
        <f>Table1[[#This Row],[NWS_pin]]*Table1[[#This Row],[Perc_pop_Afrin District]]</f>
        <v>0</v>
      </c>
      <c r="AK233" s="1">
        <f>Table1[[#This Row],[NWS_pin]]*Table1[[#This Row],[Perc_pop_Euphrates Shiled]]</f>
        <v>0</v>
      </c>
      <c r="AL233" s="1">
        <f>Table1[[#This Row],[NWS_pin]]*Table1[[#This Row],[Perc_Pop_Idleb_NSAG]]</f>
        <v>0</v>
      </c>
      <c r="AM233" s="4">
        <v>0.58243285432798997</v>
      </c>
      <c r="AN233" s="4">
        <v>0.41756714567200998</v>
      </c>
      <c r="AO233" s="4">
        <v>0.350336743176073</v>
      </c>
      <c r="AP233" s="4">
        <v>0.456006121260289</v>
      </c>
      <c r="AQ233" s="4">
        <v>0.43274985530786197</v>
      </c>
      <c r="AR233" s="4">
        <v>3.59588054297365E-2</v>
      </c>
      <c r="AS233" s="4">
        <v>2.0664992669309499E-3</v>
      </c>
      <c r="AT233" s="4">
        <v>7.3218718735181404E-2</v>
      </c>
      <c r="AU233" s="4">
        <v>6.7714035177305107E-2</v>
      </c>
      <c r="AV233" s="4">
        <v>6.6319559797326802E-2</v>
      </c>
      <c r="AW233" s="4">
        <v>6.9659083498919999E-2</v>
      </c>
      <c r="AX233" s="4">
        <v>3.7362613128309699E-2</v>
      </c>
      <c r="AY233" s="4">
        <v>3.4037548053936398E-2</v>
      </c>
      <c r="AZ233" s="4">
        <v>4.2000495112479899E-2</v>
      </c>
      <c r="BA233" s="4">
        <v>2.6681302238874601E-2</v>
      </c>
      <c r="BB233" s="4">
        <v>2.90161219639435E-2</v>
      </c>
      <c r="BC233" s="4">
        <v>2.3424638655764801E-2</v>
      </c>
      <c r="BD233" s="4">
        <v>3.2714692577220102E-2</v>
      </c>
      <c r="BE233" s="4">
        <v>3.3219641662716799E-2</v>
      </c>
      <c r="BF233" s="4">
        <v>3.20103772588229E-2</v>
      </c>
      <c r="BG233" s="4">
        <v>3.1474850992316797E-2</v>
      </c>
      <c r="BH233" s="4">
        <v>3.4028690320557199E-2</v>
      </c>
      <c r="BI233" s="4">
        <v>2.7912693516904299E-2</v>
      </c>
      <c r="BJ233" s="4">
        <v>3.2606045521042099E-2</v>
      </c>
      <c r="BK233" s="4">
        <v>1.08053403308743E-2</v>
      </c>
      <c r="BL233" s="4">
        <v>6.3014201626901203E-2</v>
      </c>
      <c r="BM233" s="4">
        <v>5.7601179936453403E-2</v>
      </c>
      <c r="BN233" s="4">
        <v>5.1320573721986597E-2</v>
      </c>
      <c r="BO233" s="4">
        <v>6.6361522895224595E-2</v>
      </c>
      <c r="BP233" s="4">
        <v>0.12618025693672899</v>
      </c>
      <c r="BQ233" s="4">
        <v>0.15462665699341599</v>
      </c>
      <c r="BR233" s="4">
        <v>8.6502523302516607E-2</v>
      </c>
      <c r="BS233" s="4">
        <v>0.147419804573309</v>
      </c>
      <c r="BT233" s="4">
        <v>0.174332788179662</v>
      </c>
      <c r="BU233" s="4">
        <v>0.109880917659436</v>
      </c>
      <c r="BV233" s="4">
        <v>9.3598990718617298E-2</v>
      </c>
      <c r="BW233" s="4">
        <v>7.3573422953857007E-2</v>
      </c>
      <c r="BX233" s="4">
        <v>0.12153114178380001</v>
      </c>
      <c r="BY233" s="4">
        <v>6.4852213497028494E-2</v>
      </c>
      <c r="BZ233" s="4">
        <v>6.2643649301727694E-2</v>
      </c>
      <c r="CA233" s="4">
        <v>6.7932772783285203E-2</v>
      </c>
      <c r="CB233" s="4">
        <v>4.1583742341461699E-2</v>
      </c>
      <c r="CC233" s="4">
        <v>2.61176937636017E-2</v>
      </c>
      <c r="CD233" s="4">
        <v>6.3156164673399504E-2</v>
      </c>
      <c r="CE233" s="4">
        <v>4.3622975393580198E-2</v>
      </c>
      <c r="CF233" s="4">
        <v>6.1669640627441798E-2</v>
      </c>
      <c r="CG233" s="4">
        <v>1.8451045915402801E-2</v>
      </c>
      <c r="CH233" s="4">
        <v>5.1125339038302103E-2</v>
      </c>
      <c r="CI233" s="4">
        <v>6.5622603239276503E-2</v>
      </c>
      <c r="CJ233" s="4">
        <v>3.0904200818886601E-2</v>
      </c>
      <c r="CK233" s="4">
        <v>5.9572119089819298E-2</v>
      </c>
      <c r="CL233" s="4">
        <v>4.8733754035117698E-2</v>
      </c>
      <c r="CM233" s="4">
        <v>7.4689735407308597E-2</v>
      </c>
      <c r="CN233" s="4">
        <v>2.56067888005348E-2</v>
      </c>
      <c r="CO233" s="4">
        <v>2.2669621954382199E-2</v>
      </c>
      <c r="CP233" s="4">
        <v>2.97036208611344E-2</v>
      </c>
      <c r="CQ233" s="4">
        <v>6.0283050039096099E-2</v>
      </c>
      <c r="CR233" s="4">
        <v>5.1262693100175498E-2</v>
      </c>
      <c r="CS233" s="4">
        <v>7.2864864229812004E-2</v>
      </c>
      <c r="CT233" s="1">
        <f>Table1[[#This Row],[Female %]]*Table1[[#This Row],[NWS_pin]]</f>
        <v>0</v>
      </c>
      <c r="CU233" s="1">
        <f>Table1[[#This Row],[Male %]]*Table1[[#This Row],[NWS_pin]]</f>
        <v>0</v>
      </c>
      <c r="CV233" s="1">
        <f>Table1[[#This Row],[Female% (0-2)22]]+Table1[[#This Row],[Male%(0-2)3]]</f>
        <v>0</v>
      </c>
      <c r="CW233" s="1">
        <f>$CT233*Table1[[#This Row],[Female% (0-2)]]</f>
        <v>0</v>
      </c>
      <c r="CX233" s="1">
        <f>$CU233*Table1[[#This Row],[Male%(0-2)]]</f>
        <v>0</v>
      </c>
      <c r="CY233" s="1">
        <f>Table1[[#This Row],[Female%  (3-5)5]]+Table1[[#This Row],[Male% (3-5)6]]</f>
        <v>0</v>
      </c>
      <c r="CZ233" s="1">
        <f>$AF233*Table1[[#This Row],[Female%  (3-5)]]</f>
        <v>0</v>
      </c>
      <c r="DA233" s="1">
        <f>$CU233*Table1[[#This Row],[Male% (3-5)]]</f>
        <v>0</v>
      </c>
      <c r="DB233" s="1">
        <f>Table1[[#This Row],[Female% (6-8)8]]+Table1[[#This Row],[Male%(6-8)9]]</f>
        <v>0</v>
      </c>
      <c r="DC233" s="1">
        <f>$CT233*Table1[[#This Row],[Female% (6-8)]]</f>
        <v>0</v>
      </c>
      <c r="DD233" s="1">
        <f>$CU233*Table1[[#This Row],[Male%(6-8)]]</f>
        <v>0</v>
      </c>
      <c r="DE233" s="1">
        <f>Table1[[#This Row],[Female% (9 - 11)11]]+Table1[[#This Row],[Male% (9 - 11)12]]</f>
        <v>0</v>
      </c>
      <c r="DF233" s="1">
        <f>$CT233*Table1[[#This Row],[Female% (9 - 11)]]</f>
        <v>0</v>
      </c>
      <c r="DG233" s="1">
        <f>$CU233*Table1[[#This Row],[Male% (9 - 11)]]</f>
        <v>0</v>
      </c>
      <c r="DH233" s="1">
        <f>Table1[[#This Row],[Female% (12-14)14]]+Table1[[#This Row],[Male%(12-14)15]]</f>
        <v>0</v>
      </c>
      <c r="DI233" s="1">
        <f>$CT233*Table1[[#This Row],[Female% (12-14)]]</f>
        <v>0</v>
      </c>
      <c r="DJ233" s="1">
        <f>$CU233*Table1[[#This Row],[Male%(12-14)]]</f>
        <v>0</v>
      </c>
      <c r="DK233" s="1">
        <f>Table1[[#This Row],[Female% (15-17)17]]+Table1[[#This Row],[Male%(15-17)18]]</f>
        <v>0</v>
      </c>
      <c r="DL233" s="1">
        <f>$CT233*Table1[[#This Row],[Female% (15-17)]]</f>
        <v>0</v>
      </c>
      <c r="DM233" s="1">
        <f>$CU233*Table1[[#This Row],[Male%(15-17)]]</f>
        <v>0</v>
      </c>
      <c r="DN233" s="1">
        <f>$AF233*Table1[[#This Row],[Total% (18-19)]]</f>
        <v>0</v>
      </c>
      <c r="DO233" s="1">
        <f>$CT233*Table1[[#This Row],[Female% (18-19)]]</f>
        <v>0</v>
      </c>
      <c r="DP233" s="1">
        <f>$CU233*Table1[[#This Row],[Male%(18-19)]]</f>
        <v>0</v>
      </c>
      <c r="DQ233" s="1">
        <f>$AF233*Table1[[#This Row],[Total% (20-24)]]</f>
        <v>0</v>
      </c>
      <c r="DR233" s="1">
        <f>$CT233*Table1[[#This Row],[Female% (20-24)]]</f>
        <v>0</v>
      </c>
      <c r="DS233" s="1">
        <f>$CU233*Table1[[#This Row],[Male% (20-24)]]</f>
        <v>0</v>
      </c>
      <c r="DT233" s="1">
        <f>$AF233*Table1[[#This Row],[Total% (25-29)]]</f>
        <v>0</v>
      </c>
      <c r="DU233" s="1">
        <f>$CT233*Table1[[#This Row],[Female% (25-29)]]</f>
        <v>0</v>
      </c>
      <c r="DV233" s="1">
        <f>$CU233*Table1[[#This Row],[Male% (25-29)]]</f>
        <v>0</v>
      </c>
      <c r="DW233" s="1">
        <f>$AF233*Table1[[#This Row],[Total%   (30-34)]]</f>
        <v>0</v>
      </c>
      <c r="DX233" s="1">
        <f>$CT233*Table1[[#This Row],[Female%   (30-34)]]</f>
        <v>0</v>
      </c>
      <c r="DY233" s="1">
        <f>$CU233*Table1[[#This Row],[Male%  (30-34)]]</f>
        <v>0</v>
      </c>
      <c r="DZ233" s="1">
        <f>$AF233*Table1[[#This Row],[Total% (35-39)]]</f>
        <v>0</v>
      </c>
      <c r="EA233" s="1">
        <f>$CT233*Table1[[#This Row],[Female% (35-39)]]</f>
        <v>0</v>
      </c>
      <c r="EB233" s="1">
        <f>$CU233*Table1[[#This Row],[Male% (35-39)]]</f>
        <v>0</v>
      </c>
      <c r="EC233" s="1">
        <f>$AF233*Table1[[#This Row],[Total% (40-44)]]</f>
        <v>0</v>
      </c>
      <c r="ED233" s="1">
        <f>$CT233*Table1[[#This Row],[Female% (40-44)]]</f>
        <v>0</v>
      </c>
      <c r="EE233" s="1">
        <f>$CU233*Table1[[#This Row],[Male%(55-59)]]</f>
        <v>0</v>
      </c>
      <c r="EF233" s="1">
        <f>$AF233*Table1[[#This Row],[Total% (45-49)]]</f>
        <v>0</v>
      </c>
      <c r="EG233" s="1">
        <f>$CT233*Table1[[#This Row],[Female% (45-49)]]</f>
        <v>0</v>
      </c>
      <c r="EH233" s="1">
        <f>$CU233*Table1[[#This Row],[Male% (45-49)]]</f>
        <v>0</v>
      </c>
      <c r="EI233" s="1">
        <f>$AF233*Table1[[#This Row],[Total% (50-54)]]</f>
        <v>0</v>
      </c>
      <c r="EJ233" s="1">
        <f>$CT233*Table1[[#This Row],[Female%(50-54)]]</f>
        <v>0</v>
      </c>
      <c r="EK233" s="1">
        <f>$CU233*Table1[[#This Row],[Male% (50-54)]]</f>
        <v>0</v>
      </c>
      <c r="EL233" s="1">
        <f>$AF233*Table1[[#This Row],[Total% (55-59)]]</f>
        <v>0</v>
      </c>
      <c r="EM233" s="1">
        <f>$CT233*Table1[[#This Row],[Female% (55-59)]]</f>
        <v>0</v>
      </c>
      <c r="EN233" s="1">
        <f>$CU233*Table1[[#This Row],[Male% (55-59)]]</f>
        <v>0</v>
      </c>
      <c r="EO233" s="1">
        <f>$AF233*Table1[[#This Row],[Total% (60-64)]]</f>
        <v>0</v>
      </c>
      <c r="EP233" s="1">
        <f>$CT233*Table1[[#This Row],[Female%(60-64)]]</f>
        <v>0</v>
      </c>
      <c r="EQ233" s="1">
        <f>$CU233*Table1[[#This Row],[Male%(60-64)]]</f>
        <v>0</v>
      </c>
      <c r="ER233" s="1">
        <f>$AF233*Table1[[#This Row],[Total% (&gt;=65)]]</f>
        <v>0</v>
      </c>
      <c r="ES233" s="1">
        <f>$CT233*Table1[[#This Row],[Female%(&gt;=65)]]</f>
        <v>0</v>
      </c>
      <c r="ET233" s="1">
        <f>$CU233*Table1[[#This Row],[Male% (&gt;=65)]]</f>
        <v>0</v>
      </c>
    </row>
    <row r="234" spans="1:150" x14ac:dyDescent="0.35">
      <c r="A234" t="s">
        <v>200</v>
      </c>
      <c r="B234" t="s">
        <v>201</v>
      </c>
      <c r="C234" t="s">
        <v>202</v>
      </c>
      <c r="D234" t="s">
        <v>203</v>
      </c>
      <c r="E234" t="s">
        <v>202</v>
      </c>
      <c r="F234" t="s">
        <v>204</v>
      </c>
      <c r="G234" t="s">
        <v>1144</v>
      </c>
      <c r="H234">
        <v>4</v>
      </c>
      <c r="I234" s="1">
        <v>0</v>
      </c>
      <c r="J234" s="1">
        <v>17027</v>
      </c>
      <c r="K234" s="1">
        <v>14120</v>
      </c>
      <c r="L234" s="1">
        <v>10382</v>
      </c>
      <c r="M234" s="1">
        <v>0</v>
      </c>
      <c r="N234" s="1">
        <v>24502</v>
      </c>
      <c r="O234" s="3">
        <v>0</v>
      </c>
      <c r="P234" s="3">
        <v>0.31</v>
      </c>
      <c r="Q234" s="3">
        <v>0</v>
      </c>
      <c r="R234" s="3">
        <v>0.69</v>
      </c>
      <c r="S234" s="3">
        <v>0</v>
      </c>
      <c r="T234" s="1">
        <v>41529</v>
      </c>
      <c r="U234" s="1">
        <v>41529</v>
      </c>
      <c r="V234" s="10">
        <f>Table1[[#This Row],[Pop NW+RATAA]]*Table1[[#This Row],[Perc_pop_Northern_Aleppo]]</f>
        <v>0</v>
      </c>
      <c r="W234" s="10">
        <f>Table1[[#This Row],[Pop NW+RATAA]]*Table1[[#This Row],[Perc_pop_Afrin District]]</f>
        <v>0</v>
      </c>
      <c r="X234" s="10">
        <f>Table1[[#This Row],[Pop NW+RATAA]]*Table1[[#This Row],[Perc_pop_Euphrates Shiled]]</f>
        <v>0</v>
      </c>
      <c r="Y234" s="10">
        <f>Table1[[#This Row],[Pop NW+RATAA]]*Table1[[#This Row],[Perc_Pop_Idleb_NSAG]]</f>
        <v>0</v>
      </c>
      <c r="Z234" s="3">
        <v>0</v>
      </c>
      <c r="AA234" s="3">
        <v>0</v>
      </c>
      <c r="AB234" s="3">
        <v>0</v>
      </c>
      <c r="AC234" s="3">
        <v>0</v>
      </c>
      <c r="AD234" s="1">
        <v>0</v>
      </c>
      <c r="AE234" s="1">
        <v>7595.62</v>
      </c>
      <c r="AF234" s="1">
        <v>0</v>
      </c>
      <c r="AG234" s="1">
        <v>16906.379999999997</v>
      </c>
      <c r="AH234" s="1">
        <v>0</v>
      </c>
      <c r="AI234" s="1">
        <f>Table1[[#This Row],[NWS_pin]]*Table1[[#This Row],[Perc_pop_Northern_Aleppo]]</f>
        <v>0</v>
      </c>
      <c r="AJ234" s="1">
        <f>Table1[[#This Row],[NWS_pin]]*Table1[[#This Row],[Perc_pop_Afrin District]]</f>
        <v>0</v>
      </c>
      <c r="AK234" s="1">
        <f>Table1[[#This Row],[NWS_pin]]*Table1[[#This Row],[Perc_pop_Euphrates Shiled]]</f>
        <v>0</v>
      </c>
      <c r="AL234" s="1">
        <f>Table1[[#This Row],[NWS_pin]]*Table1[[#This Row],[Perc_Pop_Idleb_NSAG]]</f>
        <v>0</v>
      </c>
      <c r="AM234" s="4">
        <v>0.49896079630442203</v>
      </c>
      <c r="AN234" s="4">
        <v>0.50103920369557797</v>
      </c>
      <c r="AO234" s="4">
        <v>5.8905159546573098E-2</v>
      </c>
      <c r="AP234" s="4">
        <v>0.37827739890393702</v>
      </c>
      <c r="AQ234" s="4">
        <v>0.57112241911002903</v>
      </c>
      <c r="AR234" s="4">
        <v>2.1844456136804399E-3</v>
      </c>
      <c r="AS234" s="4">
        <v>0</v>
      </c>
      <c r="AT234" s="4">
        <v>4.84157363723536E-2</v>
      </c>
      <c r="AU234" s="4">
        <v>3.8711754757457903E-2</v>
      </c>
      <c r="AV234" s="4">
        <v>4.7861849530624397E-2</v>
      </c>
      <c r="AW234" s="4">
        <v>2.9599616344723901E-2</v>
      </c>
      <c r="AX234" s="4">
        <v>0.13371047886510001</v>
      </c>
      <c r="AY234" s="4">
        <v>0.124537715031188</v>
      </c>
      <c r="AZ234" s="4">
        <v>0.14284519230293699</v>
      </c>
      <c r="BA234" s="4">
        <v>0.207526933620722</v>
      </c>
      <c r="BB234" s="4">
        <v>0.186705472194926</v>
      </c>
      <c r="BC234" s="4">
        <v>0.228262023602922</v>
      </c>
      <c r="BD234" s="4">
        <v>9.6328795018066599E-2</v>
      </c>
      <c r="BE234" s="4">
        <v>5.2028339209686497E-2</v>
      </c>
      <c r="BF234" s="4">
        <v>0.14044548397925299</v>
      </c>
      <c r="BG234" s="4">
        <v>2.9777358844033801E-2</v>
      </c>
      <c r="BH234" s="4">
        <v>2.0162486271404701E-2</v>
      </c>
      <c r="BI234" s="4">
        <v>3.9352347068147803E-2</v>
      </c>
      <c r="BJ234" s="4">
        <v>1.2915029422485499E-2</v>
      </c>
      <c r="BK234" s="4">
        <v>1.5763045716688601E-2</v>
      </c>
      <c r="BL234" s="4">
        <v>1.00788272499565E-2</v>
      </c>
      <c r="BM234" s="4">
        <v>3.48897651763658E-2</v>
      </c>
      <c r="BN234" s="4">
        <v>5.5416546522029098E-2</v>
      </c>
      <c r="BO234" s="4">
        <v>1.44481328844108E-2</v>
      </c>
      <c r="BP234" s="4">
        <v>4.3076015647678503E-2</v>
      </c>
      <c r="BQ234" s="4">
        <v>4.4617777495934603E-2</v>
      </c>
      <c r="BR234" s="4">
        <v>4.1540649325355797E-2</v>
      </c>
      <c r="BS234" s="4">
        <v>0.18682505543981701</v>
      </c>
      <c r="BT234" s="4">
        <v>0.273468367683186</v>
      </c>
      <c r="BU234" s="4">
        <v>0.10054115639053</v>
      </c>
      <c r="BV234" s="4">
        <v>0.109218776548398</v>
      </c>
      <c r="BW234" s="4">
        <v>9.3078812340627107E-2</v>
      </c>
      <c r="BX234" s="4">
        <v>0.12529178906725</v>
      </c>
      <c r="BY234" s="4">
        <v>3.9018420866146299E-2</v>
      </c>
      <c r="BZ234" s="4">
        <v>2.4912244686742802E-2</v>
      </c>
      <c r="CA234" s="4">
        <v>5.3066081902191801E-2</v>
      </c>
      <c r="CB234" s="4">
        <v>1.43017514709933E-2</v>
      </c>
      <c r="CC234" s="4">
        <v>1.06834148592116E-2</v>
      </c>
      <c r="CD234" s="4">
        <v>1.7905078523638301E-2</v>
      </c>
      <c r="CE234" s="4">
        <v>1.7601397800105101E-2</v>
      </c>
      <c r="CF234" s="4">
        <v>2.3742720804749099E-2</v>
      </c>
      <c r="CG234" s="4">
        <v>1.1485550189462601E-2</v>
      </c>
      <c r="CH234" s="4">
        <v>1.45609635865708E-2</v>
      </c>
      <c r="CI234" s="4">
        <v>1.01633092295815E-2</v>
      </c>
      <c r="CJ234" s="4">
        <v>1.8940375623893502E-2</v>
      </c>
      <c r="CK234" s="4">
        <v>8.0398330149983894E-3</v>
      </c>
      <c r="CL234" s="4">
        <v>7.4130230402144701E-3</v>
      </c>
      <c r="CM234" s="4">
        <v>8.6640428609404303E-3</v>
      </c>
      <c r="CN234" s="4">
        <v>5.2488133649788602E-3</v>
      </c>
      <c r="CO234" s="4">
        <v>2.9850420377604001E-3</v>
      </c>
      <c r="CP234" s="4">
        <v>7.5031941314913399E-3</v>
      </c>
      <c r="CQ234" s="4">
        <v>8.2488565560816293E-3</v>
      </c>
      <c r="CR234" s="4">
        <v>6.4598333454448801E-3</v>
      </c>
      <c r="CS234" s="4">
        <v>1.00304585528962E-2</v>
      </c>
      <c r="CT234" s="1">
        <f>Table1[[#This Row],[Female %]]*Table1[[#This Row],[NWS_pin]]</f>
        <v>0</v>
      </c>
      <c r="CU234" s="1">
        <f>Table1[[#This Row],[Male %]]*Table1[[#This Row],[NWS_pin]]</f>
        <v>0</v>
      </c>
      <c r="CV234" s="1">
        <f>Table1[[#This Row],[Female% (0-2)22]]+Table1[[#This Row],[Male%(0-2)3]]</f>
        <v>0</v>
      </c>
      <c r="CW234" s="1">
        <f>$CT234*Table1[[#This Row],[Female% (0-2)]]</f>
        <v>0</v>
      </c>
      <c r="CX234" s="1">
        <f>$CU234*Table1[[#This Row],[Male%(0-2)]]</f>
        <v>0</v>
      </c>
      <c r="CY234" s="1">
        <f>Table1[[#This Row],[Female%  (3-5)5]]+Table1[[#This Row],[Male% (3-5)6]]</f>
        <v>0</v>
      </c>
      <c r="CZ234" s="1">
        <f>$AF234*Table1[[#This Row],[Female%  (3-5)]]</f>
        <v>0</v>
      </c>
      <c r="DA234" s="1">
        <f>$CU234*Table1[[#This Row],[Male% (3-5)]]</f>
        <v>0</v>
      </c>
      <c r="DB234" s="1">
        <f>Table1[[#This Row],[Female% (6-8)8]]+Table1[[#This Row],[Male%(6-8)9]]</f>
        <v>0</v>
      </c>
      <c r="DC234" s="1">
        <f>$CT234*Table1[[#This Row],[Female% (6-8)]]</f>
        <v>0</v>
      </c>
      <c r="DD234" s="1">
        <f>$CU234*Table1[[#This Row],[Male%(6-8)]]</f>
        <v>0</v>
      </c>
      <c r="DE234" s="1">
        <f>Table1[[#This Row],[Female% (9 - 11)11]]+Table1[[#This Row],[Male% (9 - 11)12]]</f>
        <v>0</v>
      </c>
      <c r="DF234" s="1">
        <f>$CT234*Table1[[#This Row],[Female% (9 - 11)]]</f>
        <v>0</v>
      </c>
      <c r="DG234" s="1">
        <f>$CU234*Table1[[#This Row],[Male% (9 - 11)]]</f>
        <v>0</v>
      </c>
      <c r="DH234" s="1">
        <f>Table1[[#This Row],[Female% (12-14)14]]+Table1[[#This Row],[Male%(12-14)15]]</f>
        <v>0</v>
      </c>
      <c r="DI234" s="1">
        <f>$CT234*Table1[[#This Row],[Female% (12-14)]]</f>
        <v>0</v>
      </c>
      <c r="DJ234" s="1">
        <f>$CU234*Table1[[#This Row],[Male%(12-14)]]</f>
        <v>0</v>
      </c>
      <c r="DK234" s="1">
        <f>Table1[[#This Row],[Female% (15-17)17]]+Table1[[#This Row],[Male%(15-17)18]]</f>
        <v>0</v>
      </c>
      <c r="DL234" s="1">
        <f>$CT234*Table1[[#This Row],[Female% (15-17)]]</f>
        <v>0</v>
      </c>
      <c r="DM234" s="1">
        <f>$CU234*Table1[[#This Row],[Male%(15-17)]]</f>
        <v>0</v>
      </c>
      <c r="DN234" s="1">
        <f>$AF234*Table1[[#This Row],[Total% (18-19)]]</f>
        <v>0</v>
      </c>
      <c r="DO234" s="1">
        <f>$CT234*Table1[[#This Row],[Female% (18-19)]]</f>
        <v>0</v>
      </c>
      <c r="DP234" s="1">
        <f>$CU234*Table1[[#This Row],[Male%(18-19)]]</f>
        <v>0</v>
      </c>
      <c r="DQ234" s="1">
        <f>$AF234*Table1[[#This Row],[Total% (20-24)]]</f>
        <v>0</v>
      </c>
      <c r="DR234" s="1">
        <f>$CT234*Table1[[#This Row],[Female% (20-24)]]</f>
        <v>0</v>
      </c>
      <c r="DS234" s="1">
        <f>$CU234*Table1[[#This Row],[Male% (20-24)]]</f>
        <v>0</v>
      </c>
      <c r="DT234" s="1">
        <f>$AF234*Table1[[#This Row],[Total% (25-29)]]</f>
        <v>0</v>
      </c>
      <c r="DU234" s="1">
        <f>$CT234*Table1[[#This Row],[Female% (25-29)]]</f>
        <v>0</v>
      </c>
      <c r="DV234" s="1">
        <f>$CU234*Table1[[#This Row],[Male% (25-29)]]</f>
        <v>0</v>
      </c>
      <c r="DW234" s="1">
        <f>$AF234*Table1[[#This Row],[Total%   (30-34)]]</f>
        <v>0</v>
      </c>
      <c r="DX234" s="1">
        <f>$CT234*Table1[[#This Row],[Female%   (30-34)]]</f>
        <v>0</v>
      </c>
      <c r="DY234" s="1">
        <f>$CU234*Table1[[#This Row],[Male%  (30-34)]]</f>
        <v>0</v>
      </c>
      <c r="DZ234" s="1">
        <f>$AF234*Table1[[#This Row],[Total% (35-39)]]</f>
        <v>0</v>
      </c>
      <c r="EA234" s="1">
        <f>$CT234*Table1[[#This Row],[Female% (35-39)]]</f>
        <v>0</v>
      </c>
      <c r="EB234" s="1">
        <f>$CU234*Table1[[#This Row],[Male% (35-39)]]</f>
        <v>0</v>
      </c>
      <c r="EC234" s="1">
        <f>$AF234*Table1[[#This Row],[Total% (40-44)]]</f>
        <v>0</v>
      </c>
      <c r="ED234" s="1">
        <f>$CT234*Table1[[#This Row],[Female% (40-44)]]</f>
        <v>0</v>
      </c>
      <c r="EE234" s="1">
        <f>$CU234*Table1[[#This Row],[Male%(55-59)]]</f>
        <v>0</v>
      </c>
      <c r="EF234" s="1">
        <f>$AF234*Table1[[#This Row],[Total% (45-49)]]</f>
        <v>0</v>
      </c>
      <c r="EG234" s="1">
        <f>$CT234*Table1[[#This Row],[Female% (45-49)]]</f>
        <v>0</v>
      </c>
      <c r="EH234" s="1">
        <f>$CU234*Table1[[#This Row],[Male% (45-49)]]</f>
        <v>0</v>
      </c>
      <c r="EI234" s="1">
        <f>$AF234*Table1[[#This Row],[Total% (50-54)]]</f>
        <v>0</v>
      </c>
      <c r="EJ234" s="1">
        <f>$CT234*Table1[[#This Row],[Female%(50-54)]]</f>
        <v>0</v>
      </c>
      <c r="EK234" s="1">
        <f>$CU234*Table1[[#This Row],[Male% (50-54)]]</f>
        <v>0</v>
      </c>
      <c r="EL234" s="1">
        <f>$AF234*Table1[[#This Row],[Total% (55-59)]]</f>
        <v>0</v>
      </c>
      <c r="EM234" s="1">
        <f>$CT234*Table1[[#This Row],[Female% (55-59)]]</f>
        <v>0</v>
      </c>
      <c r="EN234" s="1">
        <f>$CU234*Table1[[#This Row],[Male% (55-59)]]</f>
        <v>0</v>
      </c>
      <c r="EO234" s="1">
        <f>$AF234*Table1[[#This Row],[Total% (60-64)]]</f>
        <v>0</v>
      </c>
      <c r="EP234" s="1">
        <f>$CT234*Table1[[#This Row],[Female%(60-64)]]</f>
        <v>0</v>
      </c>
      <c r="EQ234" s="1">
        <f>$CU234*Table1[[#This Row],[Male%(60-64)]]</f>
        <v>0</v>
      </c>
      <c r="ER234" s="1">
        <f>$AF234*Table1[[#This Row],[Total% (&gt;=65)]]</f>
        <v>0</v>
      </c>
      <c r="ES234" s="1">
        <f>$CT234*Table1[[#This Row],[Female%(&gt;=65)]]</f>
        <v>0</v>
      </c>
      <c r="ET234" s="1">
        <f>$CU234*Table1[[#This Row],[Male% (&gt;=65)]]</f>
        <v>0</v>
      </c>
    </row>
    <row r="235" spans="1:150" x14ac:dyDescent="0.35">
      <c r="A235" t="s">
        <v>200</v>
      </c>
      <c r="B235" t="s">
        <v>201</v>
      </c>
      <c r="C235" t="s">
        <v>202</v>
      </c>
      <c r="D235" t="s">
        <v>203</v>
      </c>
      <c r="E235" t="s">
        <v>348</v>
      </c>
      <c r="F235" t="s">
        <v>349</v>
      </c>
      <c r="G235" t="s">
        <v>1144</v>
      </c>
      <c r="H235">
        <v>4</v>
      </c>
      <c r="I235" s="1">
        <v>0</v>
      </c>
      <c r="J235" s="1">
        <v>10267</v>
      </c>
      <c r="K235" s="1">
        <v>18252</v>
      </c>
      <c r="L235" s="1">
        <v>9507</v>
      </c>
      <c r="M235" s="1">
        <v>0</v>
      </c>
      <c r="N235" s="1">
        <v>27759</v>
      </c>
      <c r="O235" s="3">
        <v>0</v>
      </c>
      <c r="P235" s="3">
        <v>0.5</v>
      </c>
      <c r="Q235" s="3">
        <v>0</v>
      </c>
      <c r="R235" s="3">
        <v>0.5</v>
      </c>
      <c r="S235" s="3">
        <v>0</v>
      </c>
      <c r="T235" s="1">
        <v>38026</v>
      </c>
      <c r="U235" s="1">
        <v>38026</v>
      </c>
      <c r="V235" s="10">
        <f>Table1[[#This Row],[Pop NW+RATAA]]*Table1[[#This Row],[Perc_pop_Northern_Aleppo]]</f>
        <v>0</v>
      </c>
      <c r="W235" s="10">
        <f>Table1[[#This Row],[Pop NW+RATAA]]*Table1[[#This Row],[Perc_pop_Afrin District]]</f>
        <v>0</v>
      </c>
      <c r="X235" s="10">
        <f>Table1[[#This Row],[Pop NW+RATAA]]*Table1[[#This Row],[Perc_pop_Euphrates Shiled]]</f>
        <v>0</v>
      </c>
      <c r="Y235" s="10">
        <f>Table1[[#This Row],[Pop NW+RATAA]]*Table1[[#This Row],[Perc_Pop_Idleb_NSAG]]</f>
        <v>0</v>
      </c>
      <c r="Z235" s="3">
        <v>0</v>
      </c>
      <c r="AA235" s="3">
        <v>0</v>
      </c>
      <c r="AB235" s="3">
        <v>0</v>
      </c>
      <c r="AC235" s="3">
        <v>0</v>
      </c>
      <c r="AD235" s="1">
        <v>0</v>
      </c>
      <c r="AE235" s="1">
        <v>13879.5</v>
      </c>
      <c r="AF235" s="1">
        <v>0</v>
      </c>
      <c r="AG235" s="1">
        <v>13879.5</v>
      </c>
      <c r="AH235" s="1">
        <v>0</v>
      </c>
      <c r="AI235" s="1">
        <f>Table1[[#This Row],[NWS_pin]]*Table1[[#This Row],[Perc_pop_Northern_Aleppo]]</f>
        <v>0</v>
      </c>
      <c r="AJ235" s="1">
        <f>Table1[[#This Row],[NWS_pin]]*Table1[[#This Row],[Perc_pop_Afrin District]]</f>
        <v>0</v>
      </c>
      <c r="AK235" s="1">
        <f>Table1[[#This Row],[NWS_pin]]*Table1[[#This Row],[Perc_pop_Euphrates Shiled]]</f>
        <v>0</v>
      </c>
      <c r="AL235" s="1">
        <f>Table1[[#This Row],[NWS_pin]]*Table1[[#This Row],[Perc_Pop_Idleb_NSAG]]</f>
        <v>0</v>
      </c>
      <c r="AM235" s="4">
        <v>0.49330692004458998</v>
      </c>
      <c r="AN235" s="4">
        <v>0.50669307995541002</v>
      </c>
      <c r="AO235" s="4">
        <v>7.2921099290780195E-2</v>
      </c>
      <c r="AP235" s="4">
        <v>0.39830860089363601</v>
      </c>
      <c r="AQ235" s="4">
        <v>0.54754160194552803</v>
      </c>
      <c r="AR235" s="4">
        <v>1.8646979737688699E-2</v>
      </c>
      <c r="AS235" s="4">
        <v>0</v>
      </c>
      <c r="AT235" s="4">
        <v>3.5502817423148203E-2</v>
      </c>
      <c r="AU235" s="4">
        <v>7.1247279246400702E-2</v>
      </c>
      <c r="AV235" s="4">
        <v>7.4041363855646594E-2</v>
      </c>
      <c r="AW235" s="4">
        <v>6.8527010650957607E-2</v>
      </c>
      <c r="AX235" s="4">
        <v>0.14772550495731299</v>
      </c>
      <c r="AY235" s="4">
        <v>0.116409654678722</v>
      </c>
      <c r="AZ235" s="4">
        <v>0.17821403195844801</v>
      </c>
      <c r="BA235" s="4">
        <v>0.122462884409987</v>
      </c>
      <c r="BB235" s="4">
        <v>0.107053642291352</v>
      </c>
      <c r="BC235" s="4">
        <v>0.13746503476584801</v>
      </c>
      <c r="BD235" s="4">
        <v>6.4256245258391506E-2</v>
      </c>
      <c r="BE235" s="4">
        <v>3.7071227376709898E-2</v>
      </c>
      <c r="BF235" s="4">
        <v>9.0723070982061602E-2</v>
      </c>
      <c r="BG235" s="4">
        <v>6.6141741858374598E-2</v>
      </c>
      <c r="BH235" s="4">
        <v>7.6873153955087994E-2</v>
      </c>
      <c r="BI235" s="4">
        <v>5.5693839452395803E-2</v>
      </c>
      <c r="BJ235" s="4">
        <v>5.1024605051995998E-2</v>
      </c>
      <c r="BK235" s="4">
        <v>4.4297857109509897E-2</v>
      </c>
      <c r="BL235" s="4">
        <v>5.7573641225365603E-2</v>
      </c>
      <c r="BM235" s="4">
        <v>3.2546603259542797E-2</v>
      </c>
      <c r="BN235" s="4">
        <v>4.2161502668886797E-2</v>
      </c>
      <c r="BO235" s="4">
        <v>2.3185716754877201E-2</v>
      </c>
      <c r="BP235" s="4">
        <v>4.5432477990614999E-2</v>
      </c>
      <c r="BQ235" s="4">
        <v>8.2438880156865194E-2</v>
      </c>
      <c r="BR235" s="4">
        <v>9.4037359439092007E-3</v>
      </c>
      <c r="BS235" s="4">
        <v>7.9119738829763794E-2</v>
      </c>
      <c r="BT235" s="4">
        <v>0.124743428936024</v>
      </c>
      <c r="BU235" s="4">
        <v>3.4701366174331297E-2</v>
      </c>
      <c r="BV235" s="4">
        <v>6.8024781865282505E-2</v>
      </c>
      <c r="BW235" s="4">
        <v>7.4617905663019998E-2</v>
      </c>
      <c r="BX235" s="4">
        <v>6.1605839663780998E-2</v>
      </c>
      <c r="BY235" s="4">
        <v>6.4027413613443898E-2</v>
      </c>
      <c r="BZ235" s="4">
        <v>8.1685429278388996E-2</v>
      </c>
      <c r="CA235" s="4">
        <v>4.6835899329215301E-2</v>
      </c>
      <c r="CB235" s="4">
        <v>6.9889213179646401E-2</v>
      </c>
      <c r="CC235" s="4">
        <v>5.7674847103129499E-2</v>
      </c>
      <c r="CD235" s="4">
        <v>8.1780891885883999E-2</v>
      </c>
      <c r="CE235" s="4">
        <v>5.0375388917068102E-2</v>
      </c>
      <c r="CF235" s="4">
        <v>3.41077203193327E-2</v>
      </c>
      <c r="CG235" s="4">
        <v>6.6213287261685502E-2</v>
      </c>
      <c r="CH235" s="4">
        <v>3.2200714954565599E-2</v>
      </c>
      <c r="CI235" s="4">
        <v>2.3494421014955101E-2</v>
      </c>
      <c r="CJ235" s="4">
        <v>4.06770001422972E-2</v>
      </c>
      <c r="CK235" s="4">
        <v>1.39517290515407E-2</v>
      </c>
      <c r="CL235" s="4">
        <v>8.5454177624924295E-4</v>
      </c>
      <c r="CM235" s="4">
        <v>2.6702905990033401E-2</v>
      </c>
      <c r="CN235" s="4">
        <v>2.8651245035148602E-3</v>
      </c>
      <c r="CO235" s="4">
        <v>4.4385377923714898E-3</v>
      </c>
      <c r="CP235" s="4">
        <v>1.3332787093086401E-3</v>
      </c>
      <c r="CQ235" s="4">
        <v>1.8708553052553301E-2</v>
      </c>
      <c r="CR235" s="4">
        <v>1.8035886023747599E-2</v>
      </c>
      <c r="CS235" s="4">
        <v>1.9363449109600101E-2</v>
      </c>
      <c r="CT235" s="1">
        <f>Table1[[#This Row],[Female %]]*Table1[[#This Row],[NWS_pin]]</f>
        <v>0</v>
      </c>
      <c r="CU235" s="1">
        <f>Table1[[#This Row],[Male %]]*Table1[[#This Row],[NWS_pin]]</f>
        <v>0</v>
      </c>
      <c r="CV235" s="1">
        <f>Table1[[#This Row],[Female% (0-2)22]]+Table1[[#This Row],[Male%(0-2)3]]</f>
        <v>0</v>
      </c>
      <c r="CW235" s="1">
        <f>$CT235*Table1[[#This Row],[Female% (0-2)]]</f>
        <v>0</v>
      </c>
      <c r="CX235" s="1">
        <f>$CU235*Table1[[#This Row],[Male%(0-2)]]</f>
        <v>0</v>
      </c>
      <c r="CY235" s="1">
        <f>Table1[[#This Row],[Female%  (3-5)5]]+Table1[[#This Row],[Male% (3-5)6]]</f>
        <v>0</v>
      </c>
      <c r="CZ235" s="1">
        <f>$AF235*Table1[[#This Row],[Female%  (3-5)]]</f>
        <v>0</v>
      </c>
      <c r="DA235" s="1">
        <f>$CU235*Table1[[#This Row],[Male% (3-5)]]</f>
        <v>0</v>
      </c>
      <c r="DB235" s="1">
        <f>Table1[[#This Row],[Female% (6-8)8]]+Table1[[#This Row],[Male%(6-8)9]]</f>
        <v>0</v>
      </c>
      <c r="DC235" s="1">
        <f>$CT235*Table1[[#This Row],[Female% (6-8)]]</f>
        <v>0</v>
      </c>
      <c r="DD235" s="1">
        <f>$CU235*Table1[[#This Row],[Male%(6-8)]]</f>
        <v>0</v>
      </c>
      <c r="DE235" s="1">
        <f>Table1[[#This Row],[Female% (9 - 11)11]]+Table1[[#This Row],[Male% (9 - 11)12]]</f>
        <v>0</v>
      </c>
      <c r="DF235" s="1">
        <f>$CT235*Table1[[#This Row],[Female% (9 - 11)]]</f>
        <v>0</v>
      </c>
      <c r="DG235" s="1">
        <f>$CU235*Table1[[#This Row],[Male% (9 - 11)]]</f>
        <v>0</v>
      </c>
      <c r="DH235" s="1">
        <f>Table1[[#This Row],[Female% (12-14)14]]+Table1[[#This Row],[Male%(12-14)15]]</f>
        <v>0</v>
      </c>
      <c r="DI235" s="1">
        <f>$CT235*Table1[[#This Row],[Female% (12-14)]]</f>
        <v>0</v>
      </c>
      <c r="DJ235" s="1">
        <f>$CU235*Table1[[#This Row],[Male%(12-14)]]</f>
        <v>0</v>
      </c>
      <c r="DK235" s="1">
        <f>Table1[[#This Row],[Female% (15-17)17]]+Table1[[#This Row],[Male%(15-17)18]]</f>
        <v>0</v>
      </c>
      <c r="DL235" s="1">
        <f>$CT235*Table1[[#This Row],[Female% (15-17)]]</f>
        <v>0</v>
      </c>
      <c r="DM235" s="1">
        <f>$CU235*Table1[[#This Row],[Male%(15-17)]]</f>
        <v>0</v>
      </c>
      <c r="DN235" s="1">
        <f>$AF235*Table1[[#This Row],[Total% (18-19)]]</f>
        <v>0</v>
      </c>
      <c r="DO235" s="1">
        <f>$CT235*Table1[[#This Row],[Female% (18-19)]]</f>
        <v>0</v>
      </c>
      <c r="DP235" s="1">
        <f>$CU235*Table1[[#This Row],[Male%(18-19)]]</f>
        <v>0</v>
      </c>
      <c r="DQ235" s="1">
        <f>$AF235*Table1[[#This Row],[Total% (20-24)]]</f>
        <v>0</v>
      </c>
      <c r="DR235" s="1">
        <f>$CT235*Table1[[#This Row],[Female% (20-24)]]</f>
        <v>0</v>
      </c>
      <c r="DS235" s="1">
        <f>$CU235*Table1[[#This Row],[Male% (20-24)]]</f>
        <v>0</v>
      </c>
      <c r="DT235" s="1">
        <f>$AF235*Table1[[#This Row],[Total% (25-29)]]</f>
        <v>0</v>
      </c>
      <c r="DU235" s="1">
        <f>$CT235*Table1[[#This Row],[Female% (25-29)]]</f>
        <v>0</v>
      </c>
      <c r="DV235" s="1">
        <f>$CU235*Table1[[#This Row],[Male% (25-29)]]</f>
        <v>0</v>
      </c>
      <c r="DW235" s="1">
        <f>$AF235*Table1[[#This Row],[Total%   (30-34)]]</f>
        <v>0</v>
      </c>
      <c r="DX235" s="1">
        <f>$CT235*Table1[[#This Row],[Female%   (30-34)]]</f>
        <v>0</v>
      </c>
      <c r="DY235" s="1">
        <f>$CU235*Table1[[#This Row],[Male%  (30-34)]]</f>
        <v>0</v>
      </c>
      <c r="DZ235" s="1">
        <f>$AF235*Table1[[#This Row],[Total% (35-39)]]</f>
        <v>0</v>
      </c>
      <c r="EA235" s="1">
        <f>$CT235*Table1[[#This Row],[Female% (35-39)]]</f>
        <v>0</v>
      </c>
      <c r="EB235" s="1">
        <f>$CU235*Table1[[#This Row],[Male% (35-39)]]</f>
        <v>0</v>
      </c>
      <c r="EC235" s="1">
        <f>$AF235*Table1[[#This Row],[Total% (40-44)]]</f>
        <v>0</v>
      </c>
      <c r="ED235" s="1">
        <f>$CT235*Table1[[#This Row],[Female% (40-44)]]</f>
        <v>0</v>
      </c>
      <c r="EE235" s="1">
        <f>$CU235*Table1[[#This Row],[Male%(55-59)]]</f>
        <v>0</v>
      </c>
      <c r="EF235" s="1">
        <f>$AF235*Table1[[#This Row],[Total% (45-49)]]</f>
        <v>0</v>
      </c>
      <c r="EG235" s="1">
        <f>$CT235*Table1[[#This Row],[Female% (45-49)]]</f>
        <v>0</v>
      </c>
      <c r="EH235" s="1">
        <f>$CU235*Table1[[#This Row],[Male% (45-49)]]</f>
        <v>0</v>
      </c>
      <c r="EI235" s="1">
        <f>$AF235*Table1[[#This Row],[Total% (50-54)]]</f>
        <v>0</v>
      </c>
      <c r="EJ235" s="1">
        <f>$CT235*Table1[[#This Row],[Female%(50-54)]]</f>
        <v>0</v>
      </c>
      <c r="EK235" s="1">
        <f>$CU235*Table1[[#This Row],[Male% (50-54)]]</f>
        <v>0</v>
      </c>
      <c r="EL235" s="1">
        <f>$AF235*Table1[[#This Row],[Total% (55-59)]]</f>
        <v>0</v>
      </c>
      <c r="EM235" s="1">
        <f>$CT235*Table1[[#This Row],[Female% (55-59)]]</f>
        <v>0</v>
      </c>
      <c r="EN235" s="1">
        <f>$CU235*Table1[[#This Row],[Male% (55-59)]]</f>
        <v>0</v>
      </c>
      <c r="EO235" s="1">
        <f>$AF235*Table1[[#This Row],[Total% (60-64)]]</f>
        <v>0</v>
      </c>
      <c r="EP235" s="1">
        <f>$CT235*Table1[[#This Row],[Female%(60-64)]]</f>
        <v>0</v>
      </c>
      <c r="EQ235" s="1">
        <f>$CU235*Table1[[#This Row],[Male%(60-64)]]</f>
        <v>0</v>
      </c>
      <c r="ER235" s="1">
        <f>$AF235*Table1[[#This Row],[Total% (&gt;=65)]]</f>
        <v>0</v>
      </c>
      <c r="ES235" s="1">
        <f>$CT235*Table1[[#This Row],[Female%(&gt;=65)]]</f>
        <v>0</v>
      </c>
      <c r="ET235" s="1">
        <f>$CU235*Table1[[#This Row],[Male% (&gt;=65)]]</f>
        <v>0</v>
      </c>
    </row>
    <row r="236" spans="1:150" x14ac:dyDescent="0.35">
      <c r="A236" t="s">
        <v>200</v>
      </c>
      <c r="B236" t="s">
        <v>201</v>
      </c>
      <c r="C236" t="s">
        <v>202</v>
      </c>
      <c r="D236" t="s">
        <v>203</v>
      </c>
      <c r="E236" t="s">
        <v>376</v>
      </c>
      <c r="F236" t="s">
        <v>377</v>
      </c>
      <c r="G236" t="s">
        <v>1144</v>
      </c>
      <c r="H236">
        <v>4</v>
      </c>
      <c r="I236" s="1">
        <v>0</v>
      </c>
      <c r="J236" s="1">
        <v>8290</v>
      </c>
      <c r="K236" s="1">
        <v>19971</v>
      </c>
      <c r="L236" s="1">
        <v>9421</v>
      </c>
      <c r="M236" s="1">
        <v>0</v>
      </c>
      <c r="N236" s="1">
        <v>29392</v>
      </c>
      <c r="O236" s="3">
        <v>0</v>
      </c>
      <c r="P236" s="3">
        <v>0.61</v>
      </c>
      <c r="Q236" s="3">
        <v>0</v>
      </c>
      <c r="R236" s="3">
        <v>0.39</v>
      </c>
      <c r="S236" s="3">
        <v>0</v>
      </c>
      <c r="T236" s="1">
        <v>37682</v>
      </c>
      <c r="U236" s="1">
        <v>37682</v>
      </c>
      <c r="V236" s="10">
        <f>Table1[[#This Row],[Pop NW+RATAA]]*Table1[[#This Row],[Perc_pop_Northern_Aleppo]]</f>
        <v>0</v>
      </c>
      <c r="W236" s="10">
        <f>Table1[[#This Row],[Pop NW+RATAA]]*Table1[[#This Row],[Perc_pop_Afrin District]]</f>
        <v>0</v>
      </c>
      <c r="X236" s="10">
        <f>Table1[[#This Row],[Pop NW+RATAA]]*Table1[[#This Row],[Perc_pop_Euphrates Shiled]]</f>
        <v>0</v>
      </c>
      <c r="Y236" s="10">
        <f>Table1[[#This Row],[Pop NW+RATAA]]*Table1[[#This Row],[Perc_Pop_Idleb_NSAG]]</f>
        <v>0</v>
      </c>
      <c r="Z236" s="3">
        <v>0</v>
      </c>
      <c r="AA236" s="3">
        <v>0</v>
      </c>
      <c r="AB236" s="3">
        <v>0</v>
      </c>
      <c r="AC236" s="3">
        <v>0</v>
      </c>
      <c r="AD236" s="1">
        <v>0</v>
      </c>
      <c r="AE236" s="1">
        <v>17929.12</v>
      </c>
      <c r="AF236" s="1">
        <v>0</v>
      </c>
      <c r="AG236" s="1">
        <v>11462.880000000001</v>
      </c>
      <c r="AH236" s="1">
        <v>0</v>
      </c>
      <c r="AI236" s="1">
        <f>Table1[[#This Row],[NWS_pin]]*Table1[[#This Row],[Perc_pop_Northern_Aleppo]]</f>
        <v>0</v>
      </c>
      <c r="AJ236" s="1">
        <f>Table1[[#This Row],[NWS_pin]]*Table1[[#This Row],[Perc_pop_Afrin District]]</f>
        <v>0</v>
      </c>
      <c r="AK236" s="1">
        <f>Table1[[#This Row],[NWS_pin]]*Table1[[#This Row],[Perc_pop_Euphrates Shiled]]</f>
        <v>0</v>
      </c>
      <c r="AL236" s="1">
        <f>Table1[[#This Row],[NWS_pin]]*Table1[[#This Row],[Perc_Pop_Idleb_NSAG]]</f>
        <v>0</v>
      </c>
      <c r="AM236" s="4">
        <v>0.45845172983739302</v>
      </c>
      <c r="AN236" s="4">
        <v>0.54154827016260698</v>
      </c>
      <c r="AO236" s="4">
        <v>0.24090975699886599</v>
      </c>
      <c r="AP236" s="4">
        <v>0.45620946310587501</v>
      </c>
      <c r="AQ236" s="4">
        <v>0.481171212708568</v>
      </c>
      <c r="AR236" s="4">
        <v>0</v>
      </c>
      <c r="AS236" s="4">
        <v>0</v>
      </c>
      <c r="AT236" s="4">
        <v>6.2619324185557004E-2</v>
      </c>
      <c r="AU236" s="4">
        <v>3.28319133939294E-2</v>
      </c>
      <c r="AV236" s="4">
        <v>3.06766985766402E-2</v>
      </c>
      <c r="AW236" s="4">
        <v>3.4656426582496597E-2</v>
      </c>
      <c r="AX236" s="4">
        <v>0.16044791331534</v>
      </c>
      <c r="AY236" s="4">
        <v>0.158286771914223</v>
      </c>
      <c r="AZ236" s="4">
        <v>0.16227744369767699</v>
      </c>
      <c r="BA236" s="4">
        <v>0.162835204346022</v>
      </c>
      <c r="BB236" s="4">
        <v>8.7721177901227299E-2</v>
      </c>
      <c r="BC236" s="4">
        <v>0.22642354403054801</v>
      </c>
      <c r="BD236" s="4">
        <v>6.6138927296974098E-2</v>
      </c>
      <c r="BE236" s="4">
        <v>6.37289670061231E-2</v>
      </c>
      <c r="BF236" s="4">
        <v>6.8179097167423999E-2</v>
      </c>
      <c r="BG236" s="4">
        <v>4.1113692571043997E-2</v>
      </c>
      <c r="BH236" s="4">
        <v>5.2490745750545097E-2</v>
      </c>
      <c r="BI236" s="4">
        <v>3.1482363291701801E-2</v>
      </c>
      <c r="BJ236" s="4">
        <v>6.8728096135096006E-2</v>
      </c>
      <c r="BK236" s="4">
        <v>7.0944335220789495E-2</v>
      </c>
      <c r="BL236" s="4">
        <v>6.6851922396669497E-2</v>
      </c>
      <c r="BM236" s="4">
        <v>2.3777128865333699E-2</v>
      </c>
      <c r="BN236" s="4">
        <v>4.5963218710994196E-3</v>
      </c>
      <c r="BO236" s="4">
        <v>4.00147841782083E-2</v>
      </c>
      <c r="BP236" s="4">
        <v>5.8536582370811698E-2</v>
      </c>
      <c r="BQ236" s="4">
        <v>7.4544251651300894E-2</v>
      </c>
      <c r="BR236" s="4">
        <v>4.4985170471551802E-2</v>
      </c>
      <c r="BS236" s="4">
        <v>0.127145934077809</v>
      </c>
      <c r="BT236" s="4">
        <v>0.22857085460516099</v>
      </c>
      <c r="BU236" s="4">
        <v>4.12839106418873E-2</v>
      </c>
      <c r="BV236" s="4">
        <v>0.106306348344823</v>
      </c>
      <c r="BW236" s="4">
        <v>6.5620262386766104E-2</v>
      </c>
      <c r="BX236" s="4">
        <v>0.14074945806463299</v>
      </c>
      <c r="BY236" s="4">
        <v>3.0813380912969101E-2</v>
      </c>
      <c r="BZ236" s="4">
        <v>1.37203957765266E-2</v>
      </c>
      <c r="CA236" s="4">
        <v>4.5283575050111997E-2</v>
      </c>
      <c r="CB236" s="4">
        <v>2.9657126998823599E-2</v>
      </c>
      <c r="CC236" s="4">
        <v>5.00640163710485E-2</v>
      </c>
      <c r="CD236" s="4">
        <v>1.2381522498254E-2</v>
      </c>
      <c r="CE236" s="4">
        <v>4.5815456177534603E-2</v>
      </c>
      <c r="CF236" s="4">
        <v>5.0283654129457699E-2</v>
      </c>
      <c r="CG236" s="4">
        <v>4.2032869853881501E-2</v>
      </c>
      <c r="CH236" s="4">
        <v>2.4445143021339599E-2</v>
      </c>
      <c r="CI236" s="4">
        <v>2.5894488163667601E-2</v>
      </c>
      <c r="CJ236" s="4">
        <v>2.32181890742202E-2</v>
      </c>
      <c r="CK236" s="4">
        <v>2.1407152172151198E-2</v>
      </c>
      <c r="CL236" s="4">
        <v>2.2857058675423599E-2</v>
      </c>
      <c r="CM236" s="4">
        <v>2.0179723000734701E-2</v>
      </c>
      <c r="CN236" s="4">
        <v>0</v>
      </c>
      <c r="CO236" s="4">
        <v>0</v>
      </c>
      <c r="CP236" s="4">
        <v>0</v>
      </c>
      <c r="CQ236" s="4">
        <v>0</v>
      </c>
      <c r="CR236" s="4">
        <v>0</v>
      </c>
      <c r="CS236" s="4">
        <v>0</v>
      </c>
      <c r="CT236" s="1">
        <f>Table1[[#This Row],[Female %]]*Table1[[#This Row],[NWS_pin]]</f>
        <v>0</v>
      </c>
      <c r="CU236" s="1">
        <f>Table1[[#This Row],[Male %]]*Table1[[#This Row],[NWS_pin]]</f>
        <v>0</v>
      </c>
      <c r="CV236" s="1">
        <f>Table1[[#This Row],[Female% (0-2)22]]+Table1[[#This Row],[Male%(0-2)3]]</f>
        <v>0</v>
      </c>
      <c r="CW236" s="1">
        <f>$CT236*Table1[[#This Row],[Female% (0-2)]]</f>
        <v>0</v>
      </c>
      <c r="CX236" s="1">
        <f>$CU236*Table1[[#This Row],[Male%(0-2)]]</f>
        <v>0</v>
      </c>
      <c r="CY236" s="1">
        <f>Table1[[#This Row],[Female%  (3-5)5]]+Table1[[#This Row],[Male% (3-5)6]]</f>
        <v>0</v>
      </c>
      <c r="CZ236" s="1">
        <f>$AF236*Table1[[#This Row],[Female%  (3-5)]]</f>
        <v>0</v>
      </c>
      <c r="DA236" s="1">
        <f>$CU236*Table1[[#This Row],[Male% (3-5)]]</f>
        <v>0</v>
      </c>
      <c r="DB236" s="1">
        <f>Table1[[#This Row],[Female% (6-8)8]]+Table1[[#This Row],[Male%(6-8)9]]</f>
        <v>0</v>
      </c>
      <c r="DC236" s="1">
        <f>$CT236*Table1[[#This Row],[Female% (6-8)]]</f>
        <v>0</v>
      </c>
      <c r="DD236" s="1">
        <f>$CU236*Table1[[#This Row],[Male%(6-8)]]</f>
        <v>0</v>
      </c>
      <c r="DE236" s="1">
        <f>Table1[[#This Row],[Female% (9 - 11)11]]+Table1[[#This Row],[Male% (9 - 11)12]]</f>
        <v>0</v>
      </c>
      <c r="DF236" s="1">
        <f>$CT236*Table1[[#This Row],[Female% (9 - 11)]]</f>
        <v>0</v>
      </c>
      <c r="DG236" s="1">
        <f>$CU236*Table1[[#This Row],[Male% (9 - 11)]]</f>
        <v>0</v>
      </c>
      <c r="DH236" s="1">
        <f>Table1[[#This Row],[Female% (12-14)14]]+Table1[[#This Row],[Male%(12-14)15]]</f>
        <v>0</v>
      </c>
      <c r="DI236" s="1">
        <f>$CT236*Table1[[#This Row],[Female% (12-14)]]</f>
        <v>0</v>
      </c>
      <c r="DJ236" s="1">
        <f>$CU236*Table1[[#This Row],[Male%(12-14)]]</f>
        <v>0</v>
      </c>
      <c r="DK236" s="1">
        <f>Table1[[#This Row],[Female% (15-17)17]]+Table1[[#This Row],[Male%(15-17)18]]</f>
        <v>0</v>
      </c>
      <c r="DL236" s="1">
        <f>$CT236*Table1[[#This Row],[Female% (15-17)]]</f>
        <v>0</v>
      </c>
      <c r="DM236" s="1">
        <f>$CU236*Table1[[#This Row],[Male%(15-17)]]</f>
        <v>0</v>
      </c>
      <c r="DN236" s="1">
        <f>$AF236*Table1[[#This Row],[Total% (18-19)]]</f>
        <v>0</v>
      </c>
      <c r="DO236" s="1">
        <f>$CT236*Table1[[#This Row],[Female% (18-19)]]</f>
        <v>0</v>
      </c>
      <c r="DP236" s="1">
        <f>$CU236*Table1[[#This Row],[Male%(18-19)]]</f>
        <v>0</v>
      </c>
      <c r="DQ236" s="1">
        <f>$AF236*Table1[[#This Row],[Total% (20-24)]]</f>
        <v>0</v>
      </c>
      <c r="DR236" s="1">
        <f>$CT236*Table1[[#This Row],[Female% (20-24)]]</f>
        <v>0</v>
      </c>
      <c r="DS236" s="1">
        <f>$CU236*Table1[[#This Row],[Male% (20-24)]]</f>
        <v>0</v>
      </c>
      <c r="DT236" s="1">
        <f>$AF236*Table1[[#This Row],[Total% (25-29)]]</f>
        <v>0</v>
      </c>
      <c r="DU236" s="1">
        <f>$CT236*Table1[[#This Row],[Female% (25-29)]]</f>
        <v>0</v>
      </c>
      <c r="DV236" s="1">
        <f>$CU236*Table1[[#This Row],[Male% (25-29)]]</f>
        <v>0</v>
      </c>
      <c r="DW236" s="1">
        <f>$AF236*Table1[[#This Row],[Total%   (30-34)]]</f>
        <v>0</v>
      </c>
      <c r="DX236" s="1">
        <f>$CT236*Table1[[#This Row],[Female%   (30-34)]]</f>
        <v>0</v>
      </c>
      <c r="DY236" s="1">
        <f>$CU236*Table1[[#This Row],[Male%  (30-34)]]</f>
        <v>0</v>
      </c>
      <c r="DZ236" s="1">
        <f>$AF236*Table1[[#This Row],[Total% (35-39)]]</f>
        <v>0</v>
      </c>
      <c r="EA236" s="1">
        <f>$CT236*Table1[[#This Row],[Female% (35-39)]]</f>
        <v>0</v>
      </c>
      <c r="EB236" s="1">
        <f>$CU236*Table1[[#This Row],[Male% (35-39)]]</f>
        <v>0</v>
      </c>
      <c r="EC236" s="1">
        <f>$AF236*Table1[[#This Row],[Total% (40-44)]]</f>
        <v>0</v>
      </c>
      <c r="ED236" s="1">
        <f>$CT236*Table1[[#This Row],[Female% (40-44)]]</f>
        <v>0</v>
      </c>
      <c r="EE236" s="1">
        <f>$CU236*Table1[[#This Row],[Male%(55-59)]]</f>
        <v>0</v>
      </c>
      <c r="EF236" s="1">
        <f>$AF236*Table1[[#This Row],[Total% (45-49)]]</f>
        <v>0</v>
      </c>
      <c r="EG236" s="1">
        <f>$CT236*Table1[[#This Row],[Female% (45-49)]]</f>
        <v>0</v>
      </c>
      <c r="EH236" s="1">
        <f>$CU236*Table1[[#This Row],[Male% (45-49)]]</f>
        <v>0</v>
      </c>
      <c r="EI236" s="1">
        <f>$AF236*Table1[[#This Row],[Total% (50-54)]]</f>
        <v>0</v>
      </c>
      <c r="EJ236" s="1">
        <f>$CT236*Table1[[#This Row],[Female%(50-54)]]</f>
        <v>0</v>
      </c>
      <c r="EK236" s="1">
        <f>$CU236*Table1[[#This Row],[Male% (50-54)]]</f>
        <v>0</v>
      </c>
      <c r="EL236" s="1">
        <f>$AF236*Table1[[#This Row],[Total% (55-59)]]</f>
        <v>0</v>
      </c>
      <c r="EM236" s="1">
        <f>$CT236*Table1[[#This Row],[Female% (55-59)]]</f>
        <v>0</v>
      </c>
      <c r="EN236" s="1">
        <f>$CU236*Table1[[#This Row],[Male% (55-59)]]</f>
        <v>0</v>
      </c>
      <c r="EO236" s="1">
        <f>$AF236*Table1[[#This Row],[Total% (60-64)]]</f>
        <v>0</v>
      </c>
      <c r="EP236" s="1">
        <f>$CT236*Table1[[#This Row],[Female%(60-64)]]</f>
        <v>0</v>
      </c>
      <c r="EQ236" s="1">
        <f>$CU236*Table1[[#This Row],[Male%(60-64)]]</f>
        <v>0</v>
      </c>
      <c r="ER236" s="1">
        <f>$AF236*Table1[[#This Row],[Total% (&gt;=65)]]</f>
        <v>0</v>
      </c>
      <c r="ES236" s="1">
        <f>$CT236*Table1[[#This Row],[Female%(&gt;=65)]]</f>
        <v>0</v>
      </c>
      <c r="ET236" s="1">
        <f>$CU236*Table1[[#This Row],[Male% (&gt;=65)]]</f>
        <v>0</v>
      </c>
    </row>
    <row r="237" spans="1:150" hidden="1" x14ac:dyDescent="0.35">
      <c r="A237" t="s">
        <v>200</v>
      </c>
      <c r="B237" t="s">
        <v>201</v>
      </c>
      <c r="C237" t="s">
        <v>331</v>
      </c>
      <c r="D237" t="s">
        <v>332</v>
      </c>
      <c r="E237" t="s">
        <v>500</v>
      </c>
      <c r="F237" t="s">
        <v>501</v>
      </c>
      <c r="H237">
        <v>4</v>
      </c>
      <c r="I237" s="1">
        <v>0</v>
      </c>
      <c r="J237" s="1">
        <v>0</v>
      </c>
      <c r="K237" s="1">
        <v>49695</v>
      </c>
      <c r="L237" s="1">
        <v>26655</v>
      </c>
      <c r="M237" s="1">
        <v>0</v>
      </c>
      <c r="N237" s="1">
        <v>76350</v>
      </c>
      <c r="O237" s="3">
        <v>0</v>
      </c>
      <c r="P237" s="3">
        <v>1</v>
      </c>
      <c r="Q237" s="3">
        <v>0</v>
      </c>
      <c r="R237" s="3">
        <v>0</v>
      </c>
      <c r="S237" s="3">
        <v>0</v>
      </c>
      <c r="T237" s="1">
        <v>76350</v>
      </c>
      <c r="U237" s="1">
        <v>0</v>
      </c>
      <c r="V237" s="10">
        <f>Table1[[#This Row],[Pop NW+RATAA]]*Table1[[#This Row],[Perc_pop_Northern_Aleppo]]</f>
        <v>0</v>
      </c>
      <c r="W237" s="10">
        <f>Table1[[#This Row],[Pop NW+RATAA]]*Table1[[#This Row],[Perc_pop_Afrin District]]</f>
        <v>0</v>
      </c>
      <c r="X237" s="10">
        <f>Table1[[#This Row],[Pop NW+RATAA]]*Table1[[#This Row],[Perc_pop_Euphrates Shiled]]</f>
        <v>0</v>
      </c>
      <c r="Y237" s="10">
        <f>Table1[[#This Row],[Pop NW+RATAA]]*Table1[[#This Row],[Perc_Pop_Idleb_NSAG]]</f>
        <v>0</v>
      </c>
      <c r="Z237" s="3">
        <v>0</v>
      </c>
      <c r="AA237" s="3">
        <v>0</v>
      </c>
      <c r="AB237" s="3">
        <v>0</v>
      </c>
      <c r="AC237" s="3">
        <v>0</v>
      </c>
      <c r="AD237" s="1">
        <v>0</v>
      </c>
      <c r="AE237" s="1">
        <v>76350</v>
      </c>
      <c r="AF237" s="1">
        <v>0</v>
      </c>
      <c r="AG237" s="1">
        <v>0</v>
      </c>
      <c r="AH237" s="1">
        <v>0</v>
      </c>
      <c r="AI237" s="1">
        <f>Table1[[#This Row],[NWS_pin]]*Table1[[#This Row],[Perc_pop_Northern_Aleppo]]</f>
        <v>0</v>
      </c>
      <c r="AJ237" s="1">
        <f>Table1[[#This Row],[NWS_pin]]*Table1[[#This Row],[Perc_pop_Afrin District]]</f>
        <v>0</v>
      </c>
      <c r="AK237" s="1">
        <f>Table1[[#This Row],[NWS_pin]]*Table1[[#This Row],[Perc_pop_Euphrates Shiled]]</f>
        <v>0</v>
      </c>
      <c r="AL237" s="1">
        <f>Table1[[#This Row],[NWS_pin]]*Table1[[#This Row],[Perc_Pop_Idleb_NSAG]]</f>
        <v>0</v>
      </c>
      <c r="AM237" s="4">
        <v>0.48224578094661502</v>
      </c>
      <c r="AN237" s="4">
        <v>0.51775421905338503</v>
      </c>
      <c r="AO237" s="4">
        <v>0.100183222213899</v>
      </c>
      <c r="AP237" s="4">
        <v>0.50911020135601803</v>
      </c>
      <c r="AQ237" s="4">
        <v>0.45648129752003702</v>
      </c>
      <c r="AR237" s="4">
        <v>8.7193736059935096E-3</v>
      </c>
      <c r="AS237" s="4">
        <v>0</v>
      </c>
      <c r="AT237" s="4">
        <v>2.5689127517951701E-2</v>
      </c>
      <c r="AU237" s="4">
        <v>5.0497223070467299E-2</v>
      </c>
      <c r="AV237" s="4">
        <v>3.4904209337228202E-2</v>
      </c>
      <c r="AW237" s="4">
        <v>6.5020842209381202E-2</v>
      </c>
      <c r="AX237" s="4">
        <v>9.1536529356610705E-2</v>
      </c>
      <c r="AY237" s="4">
        <v>9.5034424057772807E-2</v>
      </c>
      <c r="AZ237" s="4">
        <v>8.8278526041997499E-2</v>
      </c>
      <c r="BA237" s="4">
        <v>0.10787545410079</v>
      </c>
      <c r="BB237" s="4">
        <v>9.7578290883479704E-2</v>
      </c>
      <c r="BC237" s="4">
        <v>0.117466420884886</v>
      </c>
      <c r="BD237" s="4">
        <v>0.117950224567585</v>
      </c>
      <c r="BE237" s="4">
        <v>0.10573592975008</v>
      </c>
      <c r="BF237" s="4">
        <v>0.12932684290543001</v>
      </c>
      <c r="BG237" s="4">
        <v>0.104558320857356</v>
      </c>
      <c r="BH237" s="4">
        <v>6.2418256111652602E-2</v>
      </c>
      <c r="BI237" s="4">
        <v>0.14380835047485999</v>
      </c>
      <c r="BJ237" s="4">
        <v>8.2688527933803296E-2</v>
      </c>
      <c r="BK237" s="4">
        <v>8.6876785191172201E-2</v>
      </c>
      <c r="BL237" s="4">
        <v>7.8787508265478895E-2</v>
      </c>
      <c r="BM237" s="4">
        <v>1.8552659680119599E-2</v>
      </c>
      <c r="BN237" s="4">
        <v>3.8471377901330699E-2</v>
      </c>
      <c r="BO237" s="4">
        <v>0</v>
      </c>
      <c r="BP237" s="4">
        <v>3.0471052873372199E-2</v>
      </c>
      <c r="BQ237" s="4">
        <v>4.2038546465433202E-2</v>
      </c>
      <c r="BR237" s="4">
        <v>1.9696877066369699E-2</v>
      </c>
      <c r="BS237" s="4">
        <v>2.01495409335893E-2</v>
      </c>
      <c r="BT237" s="4">
        <v>3.8215552466731799E-2</v>
      </c>
      <c r="BU237" s="4">
        <v>3.32252626180232E-3</v>
      </c>
      <c r="BV237" s="4">
        <v>4.7303460563528001E-2</v>
      </c>
      <c r="BW237" s="4">
        <v>7.7198581237260394E-2</v>
      </c>
      <c r="BX237" s="4">
        <v>1.9458596561925501E-2</v>
      </c>
      <c r="BY237" s="4">
        <v>8.2811898670297507E-2</v>
      </c>
      <c r="BZ237" s="4">
        <v>7.3631412673157898E-2</v>
      </c>
      <c r="CA237" s="4">
        <v>9.1362771799355605E-2</v>
      </c>
      <c r="CB237" s="4">
        <v>5.8728370810804002E-2</v>
      </c>
      <c r="CC237" s="4">
        <v>8.0254098932164994E-2</v>
      </c>
      <c r="CD237" s="4">
        <v>3.8678912619406897E-2</v>
      </c>
      <c r="CE237" s="4">
        <v>5.54112375673705E-2</v>
      </c>
      <c r="CF237" s="4">
        <v>5.5539744418046502E-2</v>
      </c>
      <c r="CG237" s="4">
        <v>5.52915439284185E-2</v>
      </c>
      <c r="CH237" s="4">
        <v>3.9072312823191298E-2</v>
      </c>
      <c r="CI237" s="4">
        <v>3.8983028770528498E-2</v>
      </c>
      <c r="CJ237" s="4">
        <v>3.9155473628295301E-2</v>
      </c>
      <c r="CK237" s="4">
        <v>3.2067934126841897E-2</v>
      </c>
      <c r="CL237" s="4">
        <v>1.07015056923075E-2</v>
      </c>
      <c r="CM237" s="4">
        <v>5.1969017666616199E-2</v>
      </c>
      <c r="CN237" s="4">
        <v>2.1869792923553101E-2</v>
      </c>
      <c r="CO237" s="4">
        <v>2.7514046774424299E-2</v>
      </c>
      <c r="CP237" s="4">
        <v>1.66126313090116E-2</v>
      </c>
      <c r="CQ237" s="4">
        <v>3.8455459140720502E-2</v>
      </c>
      <c r="CR237" s="4">
        <v>3.4904209337228202E-2</v>
      </c>
      <c r="CS237" s="4">
        <v>4.1763158376765003E-2</v>
      </c>
      <c r="CT237" s="1">
        <f>Table1[[#This Row],[Female %]]*Table1[[#This Row],[NWS_pin]]</f>
        <v>0</v>
      </c>
      <c r="CU237" s="1">
        <f>Table1[[#This Row],[Male %]]*Table1[[#This Row],[NWS_pin]]</f>
        <v>0</v>
      </c>
      <c r="CV237" s="1">
        <f>Table1[[#This Row],[Female% (0-2)22]]+Table1[[#This Row],[Male%(0-2)3]]</f>
        <v>0</v>
      </c>
      <c r="CW237" s="1">
        <f>$CT237*Table1[[#This Row],[Female% (0-2)]]</f>
        <v>0</v>
      </c>
      <c r="CX237" s="1">
        <f>$CU237*Table1[[#This Row],[Male%(0-2)]]</f>
        <v>0</v>
      </c>
      <c r="CY237" s="1">
        <f>Table1[[#This Row],[Female%  (3-5)5]]+Table1[[#This Row],[Male% (3-5)6]]</f>
        <v>0</v>
      </c>
      <c r="CZ237" s="1">
        <f>$AF237*Table1[[#This Row],[Female%  (3-5)]]</f>
        <v>0</v>
      </c>
      <c r="DA237" s="1">
        <f>$CU237*Table1[[#This Row],[Male% (3-5)]]</f>
        <v>0</v>
      </c>
      <c r="DB237" s="1">
        <f>Table1[[#This Row],[Female% (6-8)8]]+Table1[[#This Row],[Male%(6-8)9]]</f>
        <v>0</v>
      </c>
      <c r="DC237" s="1">
        <f>$CT237*Table1[[#This Row],[Female% (6-8)]]</f>
        <v>0</v>
      </c>
      <c r="DD237" s="1">
        <f>$CU237*Table1[[#This Row],[Male%(6-8)]]</f>
        <v>0</v>
      </c>
      <c r="DE237" s="1">
        <f>Table1[[#This Row],[Female% (9 - 11)11]]+Table1[[#This Row],[Male% (9 - 11)12]]</f>
        <v>0</v>
      </c>
      <c r="DF237" s="1">
        <f>$CT237*Table1[[#This Row],[Female% (9 - 11)]]</f>
        <v>0</v>
      </c>
      <c r="DG237" s="1">
        <f>$CU237*Table1[[#This Row],[Male% (9 - 11)]]</f>
        <v>0</v>
      </c>
      <c r="DH237" s="1">
        <f>Table1[[#This Row],[Female% (12-14)14]]+Table1[[#This Row],[Male%(12-14)15]]</f>
        <v>0</v>
      </c>
      <c r="DI237" s="1">
        <f>$CT237*Table1[[#This Row],[Female% (12-14)]]</f>
        <v>0</v>
      </c>
      <c r="DJ237" s="1">
        <f>$CU237*Table1[[#This Row],[Male%(12-14)]]</f>
        <v>0</v>
      </c>
      <c r="DK237" s="1">
        <f>Table1[[#This Row],[Female% (15-17)17]]+Table1[[#This Row],[Male%(15-17)18]]</f>
        <v>0</v>
      </c>
      <c r="DL237" s="1">
        <f>$CT237*Table1[[#This Row],[Female% (15-17)]]</f>
        <v>0</v>
      </c>
      <c r="DM237" s="1">
        <f>$CU237*Table1[[#This Row],[Male%(15-17)]]</f>
        <v>0</v>
      </c>
      <c r="DN237" s="1">
        <f>$AF237*Table1[[#This Row],[Total% (18-19)]]</f>
        <v>0</v>
      </c>
      <c r="DO237" s="1">
        <f>$CT237*Table1[[#This Row],[Female% (18-19)]]</f>
        <v>0</v>
      </c>
      <c r="DP237" s="1">
        <f>$CU237*Table1[[#This Row],[Male%(18-19)]]</f>
        <v>0</v>
      </c>
      <c r="DQ237" s="1">
        <f>$AF237*Table1[[#This Row],[Total% (20-24)]]</f>
        <v>0</v>
      </c>
      <c r="DR237" s="1">
        <f>$CT237*Table1[[#This Row],[Female% (20-24)]]</f>
        <v>0</v>
      </c>
      <c r="DS237" s="1">
        <f>$CU237*Table1[[#This Row],[Male% (20-24)]]</f>
        <v>0</v>
      </c>
      <c r="DT237" s="1">
        <f>$AF237*Table1[[#This Row],[Total% (25-29)]]</f>
        <v>0</v>
      </c>
      <c r="DU237" s="1">
        <f>$CT237*Table1[[#This Row],[Female% (25-29)]]</f>
        <v>0</v>
      </c>
      <c r="DV237" s="1">
        <f>$CU237*Table1[[#This Row],[Male% (25-29)]]</f>
        <v>0</v>
      </c>
      <c r="DW237" s="1">
        <f>$AF237*Table1[[#This Row],[Total%   (30-34)]]</f>
        <v>0</v>
      </c>
      <c r="DX237" s="1">
        <f>$CT237*Table1[[#This Row],[Female%   (30-34)]]</f>
        <v>0</v>
      </c>
      <c r="DY237" s="1">
        <f>$CU237*Table1[[#This Row],[Male%  (30-34)]]</f>
        <v>0</v>
      </c>
      <c r="DZ237" s="1">
        <f>$AF237*Table1[[#This Row],[Total% (35-39)]]</f>
        <v>0</v>
      </c>
      <c r="EA237" s="1">
        <f>$CT237*Table1[[#This Row],[Female% (35-39)]]</f>
        <v>0</v>
      </c>
      <c r="EB237" s="1">
        <f>$CU237*Table1[[#This Row],[Male% (35-39)]]</f>
        <v>0</v>
      </c>
      <c r="EC237" s="1">
        <f>$AF237*Table1[[#This Row],[Total% (40-44)]]</f>
        <v>0</v>
      </c>
      <c r="ED237" s="1">
        <f>$CT237*Table1[[#This Row],[Female% (40-44)]]</f>
        <v>0</v>
      </c>
      <c r="EE237" s="1">
        <f>$CU237*Table1[[#This Row],[Male%(55-59)]]</f>
        <v>0</v>
      </c>
      <c r="EF237" s="1">
        <f>$AF237*Table1[[#This Row],[Total% (45-49)]]</f>
        <v>0</v>
      </c>
      <c r="EG237" s="1">
        <f>$CT237*Table1[[#This Row],[Female% (45-49)]]</f>
        <v>0</v>
      </c>
      <c r="EH237" s="1">
        <f>$CU237*Table1[[#This Row],[Male% (45-49)]]</f>
        <v>0</v>
      </c>
      <c r="EI237" s="1">
        <f>$AF237*Table1[[#This Row],[Total% (50-54)]]</f>
        <v>0</v>
      </c>
      <c r="EJ237" s="1">
        <f>$CT237*Table1[[#This Row],[Female%(50-54)]]</f>
        <v>0</v>
      </c>
      <c r="EK237" s="1">
        <f>$CU237*Table1[[#This Row],[Male% (50-54)]]</f>
        <v>0</v>
      </c>
      <c r="EL237" s="1">
        <f>$AF237*Table1[[#This Row],[Total% (55-59)]]</f>
        <v>0</v>
      </c>
      <c r="EM237" s="1">
        <f>$CT237*Table1[[#This Row],[Female% (55-59)]]</f>
        <v>0</v>
      </c>
      <c r="EN237" s="1">
        <f>$CU237*Table1[[#This Row],[Male% (55-59)]]</f>
        <v>0</v>
      </c>
      <c r="EO237" s="1">
        <f>$AF237*Table1[[#This Row],[Total% (60-64)]]</f>
        <v>0</v>
      </c>
      <c r="EP237" s="1">
        <f>$CT237*Table1[[#This Row],[Female%(60-64)]]</f>
        <v>0</v>
      </c>
      <c r="EQ237" s="1">
        <f>$CU237*Table1[[#This Row],[Male%(60-64)]]</f>
        <v>0</v>
      </c>
      <c r="ER237" s="1">
        <f>$AF237*Table1[[#This Row],[Total% (&gt;=65)]]</f>
        <v>0</v>
      </c>
      <c r="ES237" s="1">
        <f>$CT237*Table1[[#This Row],[Female%(&gt;=65)]]</f>
        <v>0</v>
      </c>
      <c r="ET237" s="1">
        <f>$CU237*Table1[[#This Row],[Male% (&gt;=65)]]</f>
        <v>0</v>
      </c>
    </row>
    <row r="238" spans="1:150" hidden="1" x14ac:dyDescent="0.35">
      <c r="A238" t="s">
        <v>200</v>
      </c>
      <c r="B238" t="s">
        <v>201</v>
      </c>
      <c r="C238" t="s">
        <v>331</v>
      </c>
      <c r="D238" t="s">
        <v>332</v>
      </c>
      <c r="E238" t="s">
        <v>333</v>
      </c>
      <c r="F238" t="s">
        <v>334</v>
      </c>
      <c r="H238">
        <v>4</v>
      </c>
      <c r="I238" s="1">
        <v>0</v>
      </c>
      <c r="J238" s="1">
        <v>0</v>
      </c>
      <c r="K238" s="1">
        <v>0</v>
      </c>
      <c r="L238" s="1">
        <v>45236</v>
      </c>
      <c r="M238" s="1">
        <v>2552</v>
      </c>
      <c r="N238" s="1">
        <v>47788</v>
      </c>
      <c r="O238" s="3">
        <v>0.74</v>
      </c>
      <c r="P238" s="3">
        <v>0.26</v>
      </c>
      <c r="Q238" s="3">
        <v>0</v>
      </c>
      <c r="R238" s="3">
        <v>0</v>
      </c>
      <c r="S238" s="3">
        <v>0</v>
      </c>
      <c r="T238" s="1">
        <v>47788</v>
      </c>
      <c r="U238" s="1">
        <v>0</v>
      </c>
      <c r="V238" s="10">
        <f>Table1[[#This Row],[Pop NW+RATAA]]*Table1[[#This Row],[Perc_pop_Northern_Aleppo]]</f>
        <v>0</v>
      </c>
      <c r="W238" s="10">
        <f>Table1[[#This Row],[Pop NW+RATAA]]*Table1[[#This Row],[Perc_pop_Afrin District]]</f>
        <v>0</v>
      </c>
      <c r="X238" s="10">
        <f>Table1[[#This Row],[Pop NW+RATAA]]*Table1[[#This Row],[Perc_pop_Euphrates Shiled]]</f>
        <v>0</v>
      </c>
      <c r="Y238" s="10">
        <f>Table1[[#This Row],[Pop NW+RATAA]]*Table1[[#This Row],[Perc_Pop_Idleb_NSAG]]</f>
        <v>0</v>
      </c>
      <c r="Z238" s="3">
        <v>0</v>
      </c>
      <c r="AA238" s="3">
        <v>0</v>
      </c>
      <c r="AB238" s="3">
        <v>0</v>
      </c>
      <c r="AC238" s="3">
        <v>0</v>
      </c>
      <c r="AD238" s="1">
        <v>35363.120000000003</v>
      </c>
      <c r="AE238" s="1">
        <v>12424.880000000001</v>
      </c>
      <c r="AF238" s="1">
        <v>0</v>
      </c>
      <c r="AG238" s="1">
        <v>0</v>
      </c>
      <c r="AH238" s="1">
        <v>0</v>
      </c>
      <c r="AI238" s="1">
        <f>Table1[[#This Row],[NWS_pin]]*Table1[[#This Row],[Perc_pop_Northern_Aleppo]]</f>
        <v>0</v>
      </c>
      <c r="AJ238" s="1">
        <f>Table1[[#This Row],[NWS_pin]]*Table1[[#This Row],[Perc_pop_Afrin District]]</f>
        <v>0</v>
      </c>
      <c r="AK238" s="1">
        <f>Table1[[#This Row],[NWS_pin]]*Table1[[#This Row],[Perc_pop_Euphrates Shiled]]</f>
        <v>0</v>
      </c>
      <c r="AL238" s="1">
        <f>Table1[[#This Row],[NWS_pin]]*Table1[[#This Row],[Perc_Pop_Idleb_NSAG]]</f>
        <v>0</v>
      </c>
      <c r="AM238" s="4">
        <v>0.541820173078983</v>
      </c>
      <c r="AN238" s="4">
        <v>0.458179826921017</v>
      </c>
      <c r="AO238" s="4">
        <v>0.423252433984731</v>
      </c>
      <c r="AP238" s="4">
        <v>0.53321816009855505</v>
      </c>
      <c r="AQ238" s="4">
        <v>0.36960157466395199</v>
      </c>
      <c r="AR238" s="4">
        <v>2.6080784855416001E-2</v>
      </c>
      <c r="AS238" s="4">
        <v>1.2935604141883899E-4</v>
      </c>
      <c r="AT238" s="4">
        <v>7.0970124340658094E-2</v>
      </c>
      <c r="AU238" s="4">
        <v>2.49661402989192E-2</v>
      </c>
      <c r="AV238" s="4">
        <v>2.9136222935244999E-2</v>
      </c>
      <c r="AW238" s="4">
        <v>2.0034812547212601E-2</v>
      </c>
      <c r="AX238" s="4">
        <v>7.14110494446899E-2</v>
      </c>
      <c r="AY238" s="4">
        <v>6.6498139725466504E-2</v>
      </c>
      <c r="AZ238" s="4">
        <v>7.7220806745178505E-2</v>
      </c>
      <c r="BA238" s="4">
        <v>0.103659534729582</v>
      </c>
      <c r="BB238" s="4">
        <v>0.103811533604228</v>
      </c>
      <c r="BC238" s="4">
        <v>0.103479788586847</v>
      </c>
      <c r="BD238" s="4">
        <v>0.104642484493795</v>
      </c>
      <c r="BE238" s="4">
        <v>9.6526607829419103E-2</v>
      </c>
      <c r="BF238" s="4">
        <v>0.11423990769011901</v>
      </c>
      <c r="BG238" s="4">
        <v>9.7200234744356906E-2</v>
      </c>
      <c r="BH238" s="4">
        <v>7.2927597689562598E-2</v>
      </c>
      <c r="BI238" s="4">
        <v>0.125903821496506</v>
      </c>
      <c r="BJ238" s="4">
        <v>9.1564519912316997E-2</v>
      </c>
      <c r="BK238" s="4">
        <v>8.2116934452597601E-2</v>
      </c>
      <c r="BL238" s="4">
        <v>0.10273675423647501</v>
      </c>
      <c r="BM238" s="4">
        <v>3.49876572221701E-2</v>
      </c>
      <c r="BN238" s="4">
        <v>3.5600428161675503E-2</v>
      </c>
      <c r="BO238" s="4">
        <v>3.4263025457537899E-2</v>
      </c>
      <c r="BP238" s="4">
        <v>7.0961672079386903E-2</v>
      </c>
      <c r="BQ238" s="4">
        <v>7.4374693378520304E-2</v>
      </c>
      <c r="BR238" s="4">
        <v>6.6925606582034697E-2</v>
      </c>
      <c r="BS238" s="4">
        <v>4.9555686318276601E-2</v>
      </c>
      <c r="BT238" s="4">
        <v>7.7132469578382101E-2</v>
      </c>
      <c r="BU238" s="4">
        <v>1.69447842203811E-2</v>
      </c>
      <c r="BV238" s="4">
        <v>6.0700749774795698E-2</v>
      </c>
      <c r="BW238" s="4">
        <v>6.6273651022278196E-2</v>
      </c>
      <c r="BX238" s="4">
        <v>5.4110520041735999E-2</v>
      </c>
      <c r="BY238" s="4">
        <v>7.92626758161811E-2</v>
      </c>
      <c r="BZ238" s="4">
        <v>9.7773702844095103E-2</v>
      </c>
      <c r="CA238" s="4">
        <v>5.7372476207146202E-2</v>
      </c>
      <c r="CB238" s="4">
        <v>4.7254381588902203E-2</v>
      </c>
      <c r="CC238" s="4">
        <v>3.2805602716007E-2</v>
      </c>
      <c r="CD238" s="4">
        <v>6.4340773022372205E-2</v>
      </c>
      <c r="CE238" s="4">
        <v>7.5181087577880695E-2</v>
      </c>
      <c r="CF238" s="4">
        <v>6.6264569969367706E-2</v>
      </c>
      <c r="CG238" s="4">
        <v>8.5725308056490104E-2</v>
      </c>
      <c r="CH238" s="4">
        <v>2.04323364397795E-2</v>
      </c>
      <c r="CI238" s="4">
        <v>1.99499494415551E-2</v>
      </c>
      <c r="CJ238" s="4">
        <v>2.1002782783140699E-2</v>
      </c>
      <c r="CK238" s="4">
        <v>1.36576561776134E-2</v>
      </c>
      <c r="CL238" s="4">
        <v>2.4211609631310301E-3</v>
      </c>
      <c r="CM238" s="4">
        <v>2.69453642437338E-2</v>
      </c>
      <c r="CN238" s="4">
        <v>1.6586843921519299E-2</v>
      </c>
      <c r="CO238" s="4">
        <v>2.5966446071396899E-2</v>
      </c>
      <c r="CP238" s="4">
        <v>5.4950032038466696E-3</v>
      </c>
      <c r="CQ238" s="4">
        <v>3.7975289459834603E-2</v>
      </c>
      <c r="CR238" s="4">
        <v>5.0420289617072199E-2</v>
      </c>
      <c r="CS238" s="4">
        <v>2.3258464879243001E-2</v>
      </c>
      <c r="CT238" s="1">
        <f>Table1[[#This Row],[Female %]]*Table1[[#This Row],[NWS_pin]]</f>
        <v>0</v>
      </c>
      <c r="CU238" s="1">
        <f>Table1[[#This Row],[Male %]]*Table1[[#This Row],[NWS_pin]]</f>
        <v>0</v>
      </c>
      <c r="CV238" s="1">
        <f>Table1[[#This Row],[Female% (0-2)22]]+Table1[[#This Row],[Male%(0-2)3]]</f>
        <v>0</v>
      </c>
      <c r="CW238" s="1">
        <f>$CT238*Table1[[#This Row],[Female% (0-2)]]</f>
        <v>0</v>
      </c>
      <c r="CX238" s="1">
        <f>$CU238*Table1[[#This Row],[Male%(0-2)]]</f>
        <v>0</v>
      </c>
      <c r="CY238" s="1">
        <f>Table1[[#This Row],[Female%  (3-5)5]]+Table1[[#This Row],[Male% (3-5)6]]</f>
        <v>0</v>
      </c>
      <c r="CZ238" s="1">
        <f>$AF238*Table1[[#This Row],[Female%  (3-5)]]</f>
        <v>0</v>
      </c>
      <c r="DA238" s="1">
        <f>$CU238*Table1[[#This Row],[Male% (3-5)]]</f>
        <v>0</v>
      </c>
      <c r="DB238" s="1">
        <f>Table1[[#This Row],[Female% (6-8)8]]+Table1[[#This Row],[Male%(6-8)9]]</f>
        <v>0</v>
      </c>
      <c r="DC238" s="1">
        <f>$CT238*Table1[[#This Row],[Female% (6-8)]]</f>
        <v>0</v>
      </c>
      <c r="DD238" s="1">
        <f>$CU238*Table1[[#This Row],[Male%(6-8)]]</f>
        <v>0</v>
      </c>
      <c r="DE238" s="1">
        <f>Table1[[#This Row],[Female% (9 - 11)11]]+Table1[[#This Row],[Male% (9 - 11)12]]</f>
        <v>0</v>
      </c>
      <c r="DF238" s="1">
        <f>$CT238*Table1[[#This Row],[Female% (9 - 11)]]</f>
        <v>0</v>
      </c>
      <c r="DG238" s="1">
        <f>$CU238*Table1[[#This Row],[Male% (9 - 11)]]</f>
        <v>0</v>
      </c>
      <c r="DH238" s="1">
        <f>Table1[[#This Row],[Female% (12-14)14]]+Table1[[#This Row],[Male%(12-14)15]]</f>
        <v>0</v>
      </c>
      <c r="DI238" s="1">
        <f>$CT238*Table1[[#This Row],[Female% (12-14)]]</f>
        <v>0</v>
      </c>
      <c r="DJ238" s="1">
        <f>$CU238*Table1[[#This Row],[Male%(12-14)]]</f>
        <v>0</v>
      </c>
      <c r="DK238" s="1">
        <f>Table1[[#This Row],[Female% (15-17)17]]+Table1[[#This Row],[Male%(15-17)18]]</f>
        <v>0</v>
      </c>
      <c r="DL238" s="1">
        <f>$CT238*Table1[[#This Row],[Female% (15-17)]]</f>
        <v>0</v>
      </c>
      <c r="DM238" s="1">
        <f>$CU238*Table1[[#This Row],[Male%(15-17)]]</f>
        <v>0</v>
      </c>
      <c r="DN238" s="1">
        <f>$AF238*Table1[[#This Row],[Total% (18-19)]]</f>
        <v>0</v>
      </c>
      <c r="DO238" s="1">
        <f>$CT238*Table1[[#This Row],[Female% (18-19)]]</f>
        <v>0</v>
      </c>
      <c r="DP238" s="1">
        <f>$CU238*Table1[[#This Row],[Male%(18-19)]]</f>
        <v>0</v>
      </c>
      <c r="DQ238" s="1">
        <f>$AF238*Table1[[#This Row],[Total% (20-24)]]</f>
        <v>0</v>
      </c>
      <c r="DR238" s="1">
        <f>$CT238*Table1[[#This Row],[Female% (20-24)]]</f>
        <v>0</v>
      </c>
      <c r="DS238" s="1">
        <f>$CU238*Table1[[#This Row],[Male% (20-24)]]</f>
        <v>0</v>
      </c>
      <c r="DT238" s="1">
        <f>$AF238*Table1[[#This Row],[Total% (25-29)]]</f>
        <v>0</v>
      </c>
      <c r="DU238" s="1">
        <f>$CT238*Table1[[#This Row],[Female% (25-29)]]</f>
        <v>0</v>
      </c>
      <c r="DV238" s="1">
        <f>$CU238*Table1[[#This Row],[Male% (25-29)]]</f>
        <v>0</v>
      </c>
      <c r="DW238" s="1">
        <f>$AF238*Table1[[#This Row],[Total%   (30-34)]]</f>
        <v>0</v>
      </c>
      <c r="DX238" s="1">
        <f>$CT238*Table1[[#This Row],[Female%   (30-34)]]</f>
        <v>0</v>
      </c>
      <c r="DY238" s="1">
        <f>$CU238*Table1[[#This Row],[Male%  (30-34)]]</f>
        <v>0</v>
      </c>
      <c r="DZ238" s="1">
        <f>$AF238*Table1[[#This Row],[Total% (35-39)]]</f>
        <v>0</v>
      </c>
      <c r="EA238" s="1">
        <f>$CT238*Table1[[#This Row],[Female% (35-39)]]</f>
        <v>0</v>
      </c>
      <c r="EB238" s="1">
        <f>$CU238*Table1[[#This Row],[Male% (35-39)]]</f>
        <v>0</v>
      </c>
      <c r="EC238" s="1">
        <f>$AF238*Table1[[#This Row],[Total% (40-44)]]</f>
        <v>0</v>
      </c>
      <c r="ED238" s="1">
        <f>$CT238*Table1[[#This Row],[Female% (40-44)]]</f>
        <v>0</v>
      </c>
      <c r="EE238" s="1">
        <f>$CU238*Table1[[#This Row],[Male%(55-59)]]</f>
        <v>0</v>
      </c>
      <c r="EF238" s="1">
        <f>$AF238*Table1[[#This Row],[Total% (45-49)]]</f>
        <v>0</v>
      </c>
      <c r="EG238" s="1">
        <f>$CT238*Table1[[#This Row],[Female% (45-49)]]</f>
        <v>0</v>
      </c>
      <c r="EH238" s="1">
        <f>$CU238*Table1[[#This Row],[Male% (45-49)]]</f>
        <v>0</v>
      </c>
      <c r="EI238" s="1">
        <f>$AF238*Table1[[#This Row],[Total% (50-54)]]</f>
        <v>0</v>
      </c>
      <c r="EJ238" s="1">
        <f>$CT238*Table1[[#This Row],[Female%(50-54)]]</f>
        <v>0</v>
      </c>
      <c r="EK238" s="1">
        <f>$CU238*Table1[[#This Row],[Male% (50-54)]]</f>
        <v>0</v>
      </c>
      <c r="EL238" s="1">
        <f>$AF238*Table1[[#This Row],[Total% (55-59)]]</f>
        <v>0</v>
      </c>
      <c r="EM238" s="1">
        <f>$CT238*Table1[[#This Row],[Female% (55-59)]]</f>
        <v>0</v>
      </c>
      <c r="EN238" s="1">
        <f>$CU238*Table1[[#This Row],[Male% (55-59)]]</f>
        <v>0</v>
      </c>
      <c r="EO238" s="1">
        <f>$AF238*Table1[[#This Row],[Total% (60-64)]]</f>
        <v>0</v>
      </c>
      <c r="EP238" s="1">
        <f>$CT238*Table1[[#This Row],[Female%(60-64)]]</f>
        <v>0</v>
      </c>
      <c r="EQ238" s="1">
        <f>$CU238*Table1[[#This Row],[Male%(60-64)]]</f>
        <v>0</v>
      </c>
      <c r="ER238" s="1">
        <f>$AF238*Table1[[#This Row],[Total% (&gt;=65)]]</f>
        <v>0</v>
      </c>
      <c r="ES238" s="1">
        <f>$CT238*Table1[[#This Row],[Female%(&gt;=65)]]</f>
        <v>0</v>
      </c>
      <c r="ET238" s="1">
        <f>$CU238*Table1[[#This Row],[Male% (&gt;=65)]]</f>
        <v>0</v>
      </c>
    </row>
    <row r="239" spans="1:150" hidden="1" x14ac:dyDescent="0.35">
      <c r="A239" t="s">
        <v>200</v>
      </c>
      <c r="B239" t="s">
        <v>201</v>
      </c>
      <c r="C239" t="s">
        <v>331</v>
      </c>
      <c r="D239" t="s">
        <v>332</v>
      </c>
      <c r="E239" t="s">
        <v>420</v>
      </c>
      <c r="F239" t="s">
        <v>421</v>
      </c>
      <c r="H239">
        <v>4</v>
      </c>
      <c r="I239" s="1">
        <v>0</v>
      </c>
      <c r="J239" s="1">
        <v>0</v>
      </c>
      <c r="K239" s="1">
        <v>11155</v>
      </c>
      <c r="L239" s="1">
        <v>26029</v>
      </c>
      <c r="M239" s="1">
        <v>0</v>
      </c>
      <c r="N239" s="1">
        <v>37184</v>
      </c>
      <c r="O239" s="3">
        <v>0</v>
      </c>
      <c r="P239" s="3">
        <v>1</v>
      </c>
      <c r="Q239" s="3">
        <v>0</v>
      </c>
      <c r="R239" s="3">
        <v>0</v>
      </c>
      <c r="S239" s="3">
        <v>0</v>
      </c>
      <c r="T239" s="1">
        <v>37184</v>
      </c>
      <c r="U239" s="1">
        <v>0</v>
      </c>
      <c r="V239" s="10">
        <f>Table1[[#This Row],[Pop NW+RATAA]]*Table1[[#This Row],[Perc_pop_Northern_Aleppo]]</f>
        <v>0</v>
      </c>
      <c r="W239" s="10">
        <f>Table1[[#This Row],[Pop NW+RATAA]]*Table1[[#This Row],[Perc_pop_Afrin District]]</f>
        <v>0</v>
      </c>
      <c r="X239" s="10">
        <f>Table1[[#This Row],[Pop NW+RATAA]]*Table1[[#This Row],[Perc_pop_Euphrates Shiled]]</f>
        <v>0</v>
      </c>
      <c r="Y239" s="10">
        <f>Table1[[#This Row],[Pop NW+RATAA]]*Table1[[#This Row],[Perc_Pop_Idleb_NSAG]]</f>
        <v>0</v>
      </c>
      <c r="Z239" s="3">
        <v>0</v>
      </c>
      <c r="AA239" s="3">
        <v>0</v>
      </c>
      <c r="AB239" s="3">
        <v>0</v>
      </c>
      <c r="AC239" s="3">
        <v>0</v>
      </c>
      <c r="AD239" s="1">
        <v>0</v>
      </c>
      <c r="AE239" s="1">
        <v>37184</v>
      </c>
      <c r="AF239" s="1">
        <v>0</v>
      </c>
      <c r="AG239" s="1">
        <v>0</v>
      </c>
      <c r="AH239" s="1">
        <v>0</v>
      </c>
      <c r="AI239" s="1">
        <f>Table1[[#This Row],[NWS_pin]]*Table1[[#This Row],[Perc_pop_Northern_Aleppo]]</f>
        <v>0</v>
      </c>
      <c r="AJ239" s="1">
        <f>Table1[[#This Row],[NWS_pin]]*Table1[[#This Row],[Perc_pop_Afrin District]]</f>
        <v>0</v>
      </c>
      <c r="AK239" s="1">
        <f>Table1[[#This Row],[NWS_pin]]*Table1[[#This Row],[Perc_pop_Euphrates Shiled]]</f>
        <v>0</v>
      </c>
      <c r="AL239" s="1">
        <f>Table1[[#This Row],[NWS_pin]]*Table1[[#This Row],[Perc_Pop_Idleb_NSAG]]</f>
        <v>0</v>
      </c>
      <c r="AM239" s="4">
        <v>0.44539070080465198</v>
      </c>
      <c r="AN239" s="4">
        <v>0.55460929919534796</v>
      </c>
      <c r="AO239" s="4">
        <v>0.10754505812078299</v>
      </c>
      <c r="AP239" s="4">
        <v>0.517201721478174</v>
      </c>
      <c r="AQ239" s="4">
        <v>0.47136329222349299</v>
      </c>
      <c r="AR239" s="4">
        <v>0</v>
      </c>
      <c r="AS239" s="4">
        <v>0</v>
      </c>
      <c r="AT239" s="4">
        <v>1.14349862983324E-2</v>
      </c>
      <c r="AU239" s="4">
        <v>4.1605434931912801E-2</v>
      </c>
      <c r="AV239" s="4">
        <v>2.5670318683020998E-2</v>
      </c>
      <c r="AW239" s="4">
        <v>5.4402466290374998E-2</v>
      </c>
      <c r="AX239" s="4">
        <v>9.4910443295807195E-2</v>
      </c>
      <c r="AY239" s="4">
        <v>4.3827716832603399E-2</v>
      </c>
      <c r="AZ239" s="4">
        <v>0.13593350470402399</v>
      </c>
      <c r="BA239" s="4">
        <v>7.9675109589908893E-2</v>
      </c>
      <c r="BB239" s="4">
        <v>9.9739124924307504E-2</v>
      </c>
      <c r="BC239" s="4">
        <v>6.3562278694883706E-2</v>
      </c>
      <c r="BD239" s="4">
        <v>0.10399657415892199</v>
      </c>
      <c r="BE239" s="4">
        <v>7.2685921899424105E-2</v>
      </c>
      <c r="BF239" s="4">
        <v>0.12914125415751099</v>
      </c>
      <c r="BG239" s="4">
        <v>4.9881989747565303E-2</v>
      </c>
      <c r="BH239" s="4">
        <v>4.0954218360535699E-2</v>
      </c>
      <c r="BI239" s="4">
        <v>5.7051624949250403E-2</v>
      </c>
      <c r="BJ239" s="4">
        <v>6.5177379162581997E-2</v>
      </c>
      <c r="BK239" s="4">
        <v>6.86266916393235E-2</v>
      </c>
      <c r="BL239" s="4">
        <v>6.2407335992481702E-2</v>
      </c>
      <c r="BM239" s="4">
        <v>5.1759867482295302E-2</v>
      </c>
      <c r="BN239" s="4">
        <v>9.1064764613932994E-2</v>
      </c>
      <c r="BO239" s="4">
        <v>2.0195240448609701E-2</v>
      </c>
      <c r="BP239" s="4">
        <v>9.2030121309396307E-2</v>
      </c>
      <c r="BQ239" s="4">
        <v>8.5145259185196595E-2</v>
      </c>
      <c r="BR239" s="4">
        <v>9.7559155119124399E-2</v>
      </c>
      <c r="BS239" s="4">
        <v>9.0446563590371704E-2</v>
      </c>
      <c r="BT239" s="4">
        <v>0.10905704749968299</v>
      </c>
      <c r="BU239" s="4">
        <v>7.5501021777950206E-2</v>
      </c>
      <c r="BV239" s="4">
        <v>4.6231135764789898E-2</v>
      </c>
      <c r="BW239" s="4">
        <v>6.7941938572897195E-2</v>
      </c>
      <c r="BX239" s="4">
        <v>2.8795817439323801E-2</v>
      </c>
      <c r="BY239" s="4">
        <v>7.2371676786759306E-2</v>
      </c>
      <c r="BZ239" s="4">
        <v>6.9811719311092701E-2</v>
      </c>
      <c r="CA239" s="4">
        <v>7.4427504656525395E-2</v>
      </c>
      <c r="CB239" s="4">
        <v>7.77746521629777E-2</v>
      </c>
      <c r="CC239" s="4">
        <v>8.4362986016251001E-2</v>
      </c>
      <c r="CD239" s="4">
        <v>7.2483751638407104E-2</v>
      </c>
      <c r="CE239" s="4">
        <v>6.9352270168526006E-2</v>
      </c>
      <c r="CF239" s="4">
        <v>9.5766853022771006E-2</v>
      </c>
      <c r="CG239" s="4">
        <v>4.8139482020213897E-2</v>
      </c>
      <c r="CH239" s="4">
        <v>1.7497693421720299E-2</v>
      </c>
      <c r="CI239" s="4">
        <v>7.4425089070707297E-3</v>
      </c>
      <c r="CJ239" s="4">
        <v>2.55727215256439E-2</v>
      </c>
      <c r="CK239" s="4">
        <v>2.1015264499141598E-2</v>
      </c>
      <c r="CL239" s="4">
        <v>1.88643308783146E-2</v>
      </c>
      <c r="CM239" s="4">
        <v>2.2742617131263701E-2</v>
      </c>
      <c r="CN239" s="4">
        <v>1.6881612792148299E-2</v>
      </c>
      <c r="CO239" s="4">
        <v>1.9038599653574802E-2</v>
      </c>
      <c r="CP239" s="4">
        <v>1.51493989774304E-2</v>
      </c>
      <c r="CQ239" s="4">
        <v>9.3922111351752002E-3</v>
      </c>
      <c r="CR239" s="4">
        <v>0</v>
      </c>
      <c r="CS239" s="4">
        <v>1.6934824476982E-2</v>
      </c>
      <c r="CT239" s="1">
        <f>Table1[[#This Row],[Female %]]*Table1[[#This Row],[NWS_pin]]</f>
        <v>0</v>
      </c>
      <c r="CU239" s="1">
        <f>Table1[[#This Row],[Male %]]*Table1[[#This Row],[NWS_pin]]</f>
        <v>0</v>
      </c>
      <c r="CV239" s="1">
        <f>Table1[[#This Row],[Female% (0-2)22]]+Table1[[#This Row],[Male%(0-2)3]]</f>
        <v>0</v>
      </c>
      <c r="CW239" s="1">
        <f>$CT239*Table1[[#This Row],[Female% (0-2)]]</f>
        <v>0</v>
      </c>
      <c r="CX239" s="1">
        <f>$CU239*Table1[[#This Row],[Male%(0-2)]]</f>
        <v>0</v>
      </c>
      <c r="CY239" s="1">
        <f>Table1[[#This Row],[Female%  (3-5)5]]+Table1[[#This Row],[Male% (3-5)6]]</f>
        <v>0</v>
      </c>
      <c r="CZ239" s="1">
        <f>$AF239*Table1[[#This Row],[Female%  (3-5)]]</f>
        <v>0</v>
      </c>
      <c r="DA239" s="1">
        <f>$CU239*Table1[[#This Row],[Male% (3-5)]]</f>
        <v>0</v>
      </c>
      <c r="DB239" s="1">
        <f>Table1[[#This Row],[Female% (6-8)8]]+Table1[[#This Row],[Male%(6-8)9]]</f>
        <v>0</v>
      </c>
      <c r="DC239" s="1">
        <f>$CT239*Table1[[#This Row],[Female% (6-8)]]</f>
        <v>0</v>
      </c>
      <c r="DD239" s="1">
        <f>$CU239*Table1[[#This Row],[Male%(6-8)]]</f>
        <v>0</v>
      </c>
      <c r="DE239" s="1">
        <f>Table1[[#This Row],[Female% (9 - 11)11]]+Table1[[#This Row],[Male% (9 - 11)12]]</f>
        <v>0</v>
      </c>
      <c r="DF239" s="1">
        <f>$CT239*Table1[[#This Row],[Female% (9 - 11)]]</f>
        <v>0</v>
      </c>
      <c r="DG239" s="1">
        <f>$CU239*Table1[[#This Row],[Male% (9 - 11)]]</f>
        <v>0</v>
      </c>
      <c r="DH239" s="1">
        <f>Table1[[#This Row],[Female% (12-14)14]]+Table1[[#This Row],[Male%(12-14)15]]</f>
        <v>0</v>
      </c>
      <c r="DI239" s="1">
        <f>$CT239*Table1[[#This Row],[Female% (12-14)]]</f>
        <v>0</v>
      </c>
      <c r="DJ239" s="1">
        <f>$CU239*Table1[[#This Row],[Male%(12-14)]]</f>
        <v>0</v>
      </c>
      <c r="DK239" s="1">
        <f>Table1[[#This Row],[Female% (15-17)17]]+Table1[[#This Row],[Male%(15-17)18]]</f>
        <v>0</v>
      </c>
      <c r="DL239" s="1">
        <f>$CT239*Table1[[#This Row],[Female% (15-17)]]</f>
        <v>0</v>
      </c>
      <c r="DM239" s="1">
        <f>$CU239*Table1[[#This Row],[Male%(15-17)]]</f>
        <v>0</v>
      </c>
      <c r="DN239" s="1">
        <f>$AF239*Table1[[#This Row],[Total% (18-19)]]</f>
        <v>0</v>
      </c>
      <c r="DO239" s="1">
        <f>$CT239*Table1[[#This Row],[Female% (18-19)]]</f>
        <v>0</v>
      </c>
      <c r="DP239" s="1">
        <f>$CU239*Table1[[#This Row],[Male%(18-19)]]</f>
        <v>0</v>
      </c>
      <c r="DQ239" s="1">
        <f>$AF239*Table1[[#This Row],[Total% (20-24)]]</f>
        <v>0</v>
      </c>
      <c r="DR239" s="1">
        <f>$CT239*Table1[[#This Row],[Female% (20-24)]]</f>
        <v>0</v>
      </c>
      <c r="DS239" s="1">
        <f>$CU239*Table1[[#This Row],[Male% (20-24)]]</f>
        <v>0</v>
      </c>
      <c r="DT239" s="1">
        <f>$AF239*Table1[[#This Row],[Total% (25-29)]]</f>
        <v>0</v>
      </c>
      <c r="DU239" s="1">
        <f>$CT239*Table1[[#This Row],[Female% (25-29)]]</f>
        <v>0</v>
      </c>
      <c r="DV239" s="1">
        <f>$CU239*Table1[[#This Row],[Male% (25-29)]]</f>
        <v>0</v>
      </c>
      <c r="DW239" s="1">
        <f>$AF239*Table1[[#This Row],[Total%   (30-34)]]</f>
        <v>0</v>
      </c>
      <c r="DX239" s="1">
        <f>$CT239*Table1[[#This Row],[Female%   (30-34)]]</f>
        <v>0</v>
      </c>
      <c r="DY239" s="1">
        <f>$CU239*Table1[[#This Row],[Male%  (30-34)]]</f>
        <v>0</v>
      </c>
      <c r="DZ239" s="1">
        <f>$AF239*Table1[[#This Row],[Total% (35-39)]]</f>
        <v>0</v>
      </c>
      <c r="EA239" s="1">
        <f>$CT239*Table1[[#This Row],[Female% (35-39)]]</f>
        <v>0</v>
      </c>
      <c r="EB239" s="1">
        <f>$CU239*Table1[[#This Row],[Male% (35-39)]]</f>
        <v>0</v>
      </c>
      <c r="EC239" s="1">
        <f>$AF239*Table1[[#This Row],[Total% (40-44)]]</f>
        <v>0</v>
      </c>
      <c r="ED239" s="1">
        <f>$CT239*Table1[[#This Row],[Female% (40-44)]]</f>
        <v>0</v>
      </c>
      <c r="EE239" s="1">
        <f>$CU239*Table1[[#This Row],[Male%(55-59)]]</f>
        <v>0</v>
      </c>
      <c r="EF239" s="1">
        <f>$AF239*Table1[[#This Row],[Total% (45-49)]]</f>
        <v>0</v>
      </c>
      <c r="EG239" s="1">
        <f>$CT239*Table1[[#This Row],[Female% (45-49)]]</f>
        <v>0</v>
      </c>
      <c r="EH239" s="1">
        <f>$CU239*Table1[[#This Row],[Male% (45-49)]]</f>
        <v>0</v>
      </c>
      <c r="EI239" s="1">
        <f>$AF239*Table1[[#This Row],[Total% (50-54)]]</f>
        <v>0</v>
      </c>
      <c r="EJ239" s="1">
        <f>$CT239*Table1[[#This Row],[Female%(50-54)]]</f>
        <v>0</v>
      </c>
      <c r="EK239" s="1">
        <f>$CU239*Table1[[#This Row],[Male% (50-54)]]</f>
        <v>0</v>
      </c>
      <c r="EL239" s="1">
        <f>$AF239*Table1[[#This Row],[Total% (55-59)]]</f>
        <v>0</v>
      </c>
      <c r="EM239" s="1">
        <f>$CT239*Table1[[#This Row],[Female% (55-59)]]</f>
        <v>0</v>
      </c>
      <c r="EN239" s="1">
        <f>$CU239*Table1[[#This Row],[Male% (55-59)]]</f>
        <v>0</v>
      </c>
      <c r="EO239" s="1">
        <f>$AF239*Table1[[#This Row],[Total% (60-64)]]</f>
        <v>0</v>
      </c>
      <c r="EP239" s="1">
        <f>$CT239*Table1[[#This Row],[Female%(60-64)]]</f>
        <v>0</v>
      </c>
      <c r="EQ239" s="1">
        <f>$CU239*Table1[[#This Row],[Male%(60-64)]]</f>
        <v>0</v>
      </c>
      <c r="ER239" s="1">
        <f>$AF239*Table1[[#This Row],[Total% (&gt;=65)]]</f>
        <v>0</v>
      </c>
      <c r="ES239" s="1">
        <f>$CT239*Table1[[#This Row],[Female%(&gt;=65)]]</f>
        <v>0</v>
      </c>
      <c r="ET239" s="1">
        <f>$CU239*Table1[[#This Row],[Male% (&gt;=65)]]</f>
        <v>0</v>
      </c>
    </row>
    <row r="240" spans="1:150" hidden="1" x14ac:dyDescent="0.35">
      <c r="A240" t="s">
        <v>28</v>
      </c>
      <c r="B240" t="s">
        <v>29</v>
      </c>
      <c r="C240" t="s">
        <v>28</v>
      </c>
      <c r="D240" t="s">
        <v>39</v>
      </c>
      <c r="E240" t="s">
        <v>28</v>
      </c>
      <c r="F240" t="s">
        <v>151</v>
      </c>
      <c r="H240">
        <v>4</v>
      </c>
      <c r="I240" s="1">
        <v>0</v>
      </c>
      <c r="J240" s="1">
        <v>93942</v>
      </c>
      <c r="K240" s="1">
        <v>33812</v>
      </c>
      <c r="L240" s="1">
        <v>65740</v>
      </c>
      <c r="M240" s="1">
        <v>0</v>
      </c>
      <c r="N240" s="1">
        <v>99552</v>
      </c>
      <c r="O240" s="3">
        <v>1</v>
      </c>
      <c r="P240" s="3">
        <v>0</v>
      </c>
      <c r="Q240" s="3">
        <v>0</v>
      </c>
      <c r="R240" s="3">
        <v>0</v>
      </c>
      <c r="S240" s="3">
        <v>0</v>
      </c>
      <c r="T240" s="1">
        <v>193494</v>
      </c>
      <c r="U240" s="1">
        <v>0</v>
      </c>
      <c r="V240" s="10">
        <f>Table1[[#This Row],[Pop NW+RATAA]]*Table1[[#This Row],[Perc_pop_Northern_Aleppo]]</f>
        <v>0</v>
      </c>
      <c r="W240" s="10">
        <f>Table1[[#This Row],[Pop NW+RATAA]]*Table1[[#This Row],[Perc_pop_Afrin District]]</f>
        <v>0</v>
      </c>
      <c r="X240" s="10">
        <f>Table1[[#This Row],[Pop NW+RATAA]]*Table1[[#This Row],[Perc_pop_Euphrates Shiled]]</f>
        <v>0</v>
      </c>
      <c r="Y240" s="10">
        <f>Table1[[#This Row],[Pop NW+RATAA]]*Table1[[#This Row],[Perc_Pop_Idleb_NSAG]]</f>
        <v>0</v>
      </c>
      <c r="Z240" s="3">
        <v>0</v>
      </c>
      <c r="AA240" s="3">
        <v>0</v>
      </c>
      <c r="AB240" s="3">
        <v>0</v>
      </c>
      <c r="AC240" s="3">
        <v>0</v>
      </c>
      <c r="AD240" s="1">
        <v>99552</v>
      </c>
      <c r="AE240" s="1">
        <v>0</v>
      </c>
      <c r="AF240" s="1">
        <v>0</v>
      </c>
      <c r="AG240" s="1">
        <v>0</v>
      </c>
      <c r="AH240" s="1">
        <v>0</v>
      </c>
      <c r="AI240" s="1">
        <f>Table1[[#This Row],[NWS_pin]]*Table1[[#This Row],[Perc_pop_Northern_Aleppo]]</f>
        <v>0</v>
      </c>
      <c r="AJ240" s="1">
        <f>Table1[[#This Row],[NWS_pin]]*Table1[[#This Row],[Perc_pop_Afrin District]]</f>
        <v>0</v>
      </c>
      <c r="AK240" s="1">
        <f>Table1[[#This Row],[NWS_pin]]*Table1[[#This Row],[Perc_pop_Euphrates Shiled]]</f>
        <v>0</v>
      </c>
      <c r="AL240" s="1">
        <f>Table1[[#This Row],[NWS_pin]]*Table1[[#This Row],[Perc_Pop_Idleb_NSAG]]</f>
        <v>0</v>
      </c>
      <c r="AM240" s="4">
        <v>0.46412129757866299</v>
      </c>
      <c r="AN240" s="4">
        <v>0.53587870242133695</v>
      </c>
      <c r="AO240" s="4">
        <v>9.8259454044578004E-2</v>
      </c>
      <c r="AP240" s="4">
        <v>0.43213758763527299</v>
      </c>
      <c r="AQ240" s="4">
        <v>0.56786241236472701</v>
      </c>
      <c r="AR240" s="4">
        <v>0</v>
      </c>
      <c r="AS240" s="4">
        <v>0</v>
      </c>
      <c r="AT240" s="4">
        <v>0</v>
      </c>
      <c r="AU240" s="4">
        <v>8.3895544558596005E-2</v>
      </c>
      <c r="AV240" s="4">
        <v>8.99272154312033E-2</v>
      </c>
      <c r="AW240" s="4">
        <v>7.8671550958341302E-2</v>
      </c>
      <c r="AX240" s="4">
        <v>0.117910286311947</v>
      </c>
      <c r="AY240" s="4">
        <v>9.3048720399436596E-2</v>
      </c>
      <c r="AZ240" s="4">
        <v>0.13944273792649101</v>
      </c>
      <c r="BA240" s="4">
        <v>9.2237448441552294E-2</v>
      </c>
      <c r="BB240" s="4">
        <v>9.2998447983378293E-2</v>
      </c>
      <c r="BC240" s="4">
        <v>9.1578351348845996E-2</v>
      </c>
      <c r="BD240" s="4">
        <v>5.4582428848373103E-2</v>
      </c>
      <c r="BE240" s="4">
        <v>4.2749876983672601E-2</v>
      </c>
      <c r="BF240" s="4">
        <v>6.4830530331595998E-2</v>
      </c>
      <c r="BG240" s="4">
        <v>7.3605440761360594E-2</v>
      </c>
      <c r="BH240" s="4">
        <v>4.8016503197984998E-2</v>
      </c>
      <c r="BI240" s="4">
        <v>9.5767864555981602E-2</v>
      </c>
      <c r="BJ240" s="4">
        <v>6.0078775106533901E-2</v>
      </c>
      <c r="BK240" s="4">
        <v>6.0781850899596E-2</v>
      </c>
      <c r="BL240" s="4">
        <v>5.9469845421704602E-2</v>
      </c>
      <c r="BM240" s="4">
        <v>4.3657655579063197E-2</v>
      </c>
      <c r="BN240" s="4">
        <v>5.5256994788591099E-2</v>
      </c>
      <c r="BO240" s="4">
        <v>3.3611538163580701E-2</v>
      </c>
      <c r="BP240" s="4">
        <v>5.4368891857768803E-2</v>
      </c>
      <c r="BQ240" s="4">
        <v>5.8892871734023598E-2</v>
      </c>
      <c r="BR240" s="4">
        <v>5.0450700295200698E-2</v>
      </c>
      <c r="BS240" s="4">
        <v>5.5469153059357297E-2</v>
      </c>
      <c r="BT240" s="4">
        <v>0.11399459892941199</v>
      </c>
      <c r="BU240" s="4">
        <v>4.78061896414973E-3</v>
      </c>
      <c r="BV240" s="4">
        <v>8.70671706690445E-2</v>
      </c>
      <c r="BW240" s="4">
        <v>0.107057115398436</v>
      </c>
      <c r="BX240" s="4">
        <v>6.9754000646780695E-2</v>
      </c>
      <c r="BY240" s="4">
        <v>8.5676897980216493E-2</v>
      </c>
      <c r="BZ240" s="4">
        <v>8.3445617552952003E-2</v>
      </c>
      <c r="CA240" s="4">
        <v>8.7609396440193804E-2</v>
      </c>
      <c r="CB240" s="4">
        <v>5.4628826096331698E-2</v>
      </c>
      <c r="CC240" s="4">
        <v>3.8748055309107798E-2</v>
      </c>
      <c r="CD240" s="4">
        <v>6.8383065462464407E-2</v>
      </c>
      <c r="CE240" s="4">
        <v>3.8851887540517001E-2</v>
      </c>
      <c r="CF240" s="4">
        <v>4.4504521660433602E-2</v>
      </c>
      <c r="CG240" s="4">
        <v>3.39561753753964E-2</v>
      </c>
      <c r="CH240" s="4">
        <v>6.2320913507879799E-2</v>
      </c>
      <c r="CI240" s="4">
        <v>6.2621711442265596E-2</v>
      </c>
      <c r="CJ240" s="4">
        <v>6.2060394239274203E-2</v>
      </c>
      <c r="CK240" s="4">
        <v>1.9537882390333199E-2</v>
      </c>
      <c r="CL240" s="4">
        <v>7.9558982895071399E-3</v>
      </c>
      <c r="CM240" s="4">
        <v>2.9568968651313799E-2</v>
      </c>
      <c r="CN240" s="4">
        <v>1.6110797291124902E-2</v>
      </c>
      <c r="CO240" s="4">
        <v>0</v>
      </c>
      <c r="CP240" s="4">
        <v>3.0064261218684801E-2</v>
      </c>
      <c r="CQ240" s="4">
        <v>0</v>
      </c>
      <c r="CR240" s="4">
        <v>0</v>
      </c>
      <c r="CS240" s="4">
        <v>0</v>
      </c>
      <c r="CT240" s="1">
        <f>Table1[[#This Row],[Female %]]*Table1[[#This Row],[NWS_pin]]</f>
        <v>0</v>
      </c>
      <c r="CU240" s="1">
        <f>Table1[[#This Row],[Male %]]*Table1[[#This Row],[NWS_pin]]</f>
        <v>0</v>
      </c>
      <c r="CV240" s="1">
        <f>Table1[[#This Row],[Female% (0-2)22]]+Table1[[#This Row],[Male%(0-2)3]]</f>
        <v>0</v>
      </c>
      <c r="CW240" s="1">
        <f>$CT240*Table1[[#This Row],[Female% (0-2)]]</f>
        <v>0</v>
      </c>
      <c r="CX240" s="1">
        <f>$CU240*Table1[[#This Row],[Male%(0-2)]]</f>
        <v>0</v>
      </c>
      <c r="CY240" s="1">
        <f>Table1[[#This Row],[Female%  (3-5)5]]+Table1[[#This Row],[Male% (3-5)6]]</f>
        <v>0</v>
      </c>
      <c r="CZ240" s="1">
        <f>$AF240*Table1[[#This Row],[Female%  (3-5)]]</f>
        <v>0</v>
      </c>
      <c r="DA240" s="1">
        <f>$CU240*Table1[[#This Row],[Male% (3-5)]]</f>
        <v>0</v>
      </c>
      <c r="DB240" s="1">
        <f>Table1[[#This Row],[Female% (6-8)8]]+Table1[[#This Row],[Male%(6-8)9]]</f>
        <v>0</v>
      </c>
      <c r="DC240" s="1">
        <f>$CT240*Table1[[#This Row],[Female% (6-8)]]</f>
        <v>0</v>
      </c>
      <c r="DD240" s="1">
        <f>$CU240*Table1[[#This Row],[Male%(6-8)]]</f>
        <v>0</v>
      </c>
      <c r="DE240" s="1">
        <f>Table1[[#This Row],[Female% (9 - 11)11]]+Table1[[#This Row],[Male% (9 - 11)12]]</f>
        <v>0</v>
      </c>
      <c r="DF240" s="1">
        <f>$CT240*Table1[[#This Row],[Female% (9 - 11)]]</f>
        <v>0</v>
      </c>
      <c r="DG240" s="1">
        <f>$CU240*Table1[[#This Row],[Male% (9 - 11)]]</f>
        <v>0</v>
      </c>
      <c r="DH240" s="1">
        <f>Table1[[#This Row],[Female% (12-14)14]]+Table1[[#This Row],[Male%(12-14)15]]</f>
        <v>0</v>
      </c>
      <c r="DI240" s="1">
        <f>$CT240*Table1[[#This Row],[Female% (12-14)]]</f>
        <v>0</v>
      </c>
      <c r="DJ240" s="1">
        <f>$CU240*Table1[[#This Row],[Male%(12-14)]]</f>
        <v>0</v>
      </c>
      <c r="DK240" s="1">
        <f>Table1[[#This Row],[Female% (15-17)17]]+Table1[[#This Row],[Male%(15-17)18]]</f>
        <v>0</v>
      </c>
      <c r="DL240" s="1">
        <f>$CT240*Table1[[#This Row],[Female% (15-17)]]</f>
        <v>0</v>
      </c>
      <c r="DM240" s="1">
        <f>$CU240*Table1[[#This Row],[Male%(15-17)]]</f>
        <v>0</v>
      </c>
      <c r="DN240" s="1">
        <f>$AF240*Table1[[#This Row],[Total% (18-19)]]</f>
        <v>0</v>
      </c>
      <c r="DO240" s="1">
        <f>$CT240*Table1[[#This Row],[Female% (18-19)]]</f>
        <v>0</v>
      </c>
      <c r="DP240" s="1">
        <f>$CU240*Table1[[#This Row],[Male%(18-19)]]</f>
        <v>0</v>
      </c>
      <c r="DQ240" s="1">
        <f>$AF240*Table1[[#This Row],[Total% (20-24)]]</f>
        <v>0</v>
      </c>
      <c r="DR240" s="1">
        <f>$CT240*Table1[[#This Row],[Female% (20-24)]]</f>
        <v>0</v>
      </c>
      <c r="DS240" s="1">
        <f>$CU240*Table1[[#This Row],[Male% (20-24)]]</f>
        <v>0</v>
      </c>
      <c r="DT240" s="1">
        <f>$AF240*Table1[[#This Row],[Total% (25-29)]]</f>
        <v>0</v>
      </c>
      <c r="DU240" s="1">
        <f>$CT240*Table1[[#This Row],[Female% (25-29)]]</f>
        <v>0</v>
      </c>
      <c r="DV240" s="1">
        <f>$CU240*Table1[[#This Row],[Male% (25-29)]]</f>
        <v>0</v>
      </c>
      <c r="DW240" s="1">
        <f>$AF240*Table1[[#This Row],[Total%   (30-34)]]</f>
        <v>0</v>
      </c>
      <c r="DX240" s="1">
        <f>$CT240*Table1[[#This Row],[Female%   (30-34)]]</f>
        <v>0</v>
      </c>
      <c r="DY240" s="1">
        <f>$CU240*Table1[[#This Row],[Male%  (30-34)]]</f>
        <v>0</v>
      </c>
      <c r="DZ240" s="1">
        <f>$AF240*Table1[[#This Row],[Total% (35-39)]]</f>
        <v>0</v>
      </c>
      <c r="EA240" s="1">
        <f>$CT240*Table1[[#This Row],[Female% (35-39)]]</f>
        <v>0</v>
      </c>
      <c r="EB240" s="1">
        <f>$CU240*Table1[[#This Row],[Male% (35-39)]]</f>
        <v>0</v>
      </c>
      <c r="EC240" s="1">
        <f>$AF240*Table1[[#This Row],[Total% (40-44)]]</f>
        <v>0</v>
      </c>
      <c r="ED240" s="1">
        <f>$CT240*Table1[[#This Row],[Female% (40-44)]]</f>
        <v>0</v>
      </c>
      <c r="EE240" s="1">
        <f>$CU240*Table1[[#This Row],[Male%(55-59)]]</f>
        <v>0</v>
      </c>
      <c r="EF240" s="1">
        <f>$AF240*Table1[[#This Row],[Total% (45-49)]]</f>
        <v>0</v>
      </c>
      <c r="EG240" s="1">
        <f>$CT240*Table1[[#This Row],[Female% (45-49)]]</f>
        <v>0</v>
      </c>
      <c r="EH240" s="1">
        <f>$CU240*Table1[[#This Row],[Male% (45-49)]]</f>
        <v>0</v>
      </c>
      <c r="EI240" s="1">
        <f>$AF240*Table1[[#This Row],[Total% (50-54)]]</f>
        <v>0</v>
      </c>
      <c r="EJ240" s="1">
        <f>$CT240*Table1[[#This Row],[Female%(50-54)]]</f>
        <v>0</v>
      </c>
      <c r="EK240" s="1">
        <f>$CU240*Table1[[#This Row],[Male% (50-54)]]</f>
        <v>0</v>
      </c>
      <c r="EL240" s="1">
        <f>$AF240*Table1[[#This Row],[Total% (55-59)]]</f>
        <v>0</v>
      </c>
      <c r="EM240" s="1">
        <f>$CT240*Table1[[#This Row],[Female% (55-59)]]</f>
        <v>0</v>
      </c>
      <c r="EN240" s="1">
        <f>$CU240*Table1[[#This Row],[Male% (55-59)]]</f>
        <v>0</v>
      </c>
      <c r="EO240" s="1">
        <f>$AF240*Table1[[#This Row],[Total% (60-64)]]</f>
        <v>0</v>
      </c>
      <c r="EP240" s="1">
        <f>$CT240*Table1[[#This Row],[Female%(60-64)]]</f>
        <v>0</v>
      </c>
      <c r="EQ240" s="1">
        <f>$CU240*Table1[[#This Row],[Male%(60-64)]]</f>
        <v>0</v>
      </c>
      <c r="ER240" s="1">
        <f>$AF240*Table1[[#This Row],[Total% (&gt;=65)]]</f>
        <v>0</v>
      </c>
      <c r="ES240" s="1">
        <f>$CT240*Table1[[#This Row],[Female%(&gt;=65)]]</f>
        <v>0</v>
      </c>
      <c r="ET240" s="1">
        <f>$CU240*Table1[[#This Row],[Male% (&gt;=65)]]</f>
        <v>0</v>
      </c>
    </row>
    <row r="241" spans="1:150" hidden="1" x14ac:dyDescent="0.35">
      <c r="A241" t="s">
        <v>28</v>
      </c>
      <c r="B241" t="s">
        <v>29</v>
      </c>
      <c r="C241" t="s">
        <v>28</v>
      </c>
      <c r="D241" t="s">
        <v>39</v>
      </c>
      <c r="E241" t="s">
        <v>265</v>
      </c>
      <c r="F241" t="s">
        <v>266</v>
      </c>
      <c r="H241">
        <v>4</v>
      </c>
      <c r="I241" s="1">
        <v>0</v>
      </c>
      <c r="J241" s="1">
        <v>773</v>
      </c>
      <c r="K241" s="1">
        <v>28447</v>
      </c>
      <c r="L241" s="1">
        <v>13400</v>
      </c>
      <c r="M241" s="1">
        <v>0</v>
      </c>
      <c r="N241" s="1">
        <v>41847</v>
      </c>
      <c r="O241" s="3">
        <v>1</v>
      </c>
      <c r="P241" s="3">
        <v>0</v>
      </c>
      <c r="Q241" s="3">
        <v>0</v>
      </c>
      <c r="R241" s="3">
        <v>0</v>
      </c>
      <c r="S241" s="3">
        <v>0</v>
      </c>
      <c r="T241" s="1">
        <v>42620</v>
      </c>
      <c r="U241" s="1">
        <v>0</v>
      </c>
      <c r="V241" s="10">
        <f>Table1[[#This Row],[Pop NW+RATAA]]*Table1[[#This Row],[Perc_pop_Northern_Aleppo]]</f>
        <v>0</v>
      </c>
      <c r="W241" s="10">
        <f>Table1[[#This Row],[Pop NW+RATAA]]*Table1[[#This Row],[Perc_pop_Afrin District]]</f>
        <v>0</v>
      </c>
      <c r="X241" s="10">
        <f>Table1[[#This Row],[Pop NW+RATAA]]*Table1[[#This Row],[Perc_pop_Euphrates Shiled]]</f>
        <v>0</v>
      </c>
      <c r="Y241" s="10">
        <f>Table1[[#This Row],[Pop NW+RATAA]]*Table1[[#This Row],[Perc_Pop_Idleb_NSAG]]</f>
        <v>0</v>
      </c>
      <c r="Z241" s="3">
        <v>0</v>
      </c>
      <c r="AA241" s="3">
        <v>0</v>
      </c>
      <c r="AB241" s="3">
        <v>0</v>
      </c>
      <c r="AC241" s="3">
        <v>0</v>
      </c>
      <c r="AD241" s="1">
        <v>41847</v>
      </c>
      <c r="AE241" s="1">
        <v>0</v>
      </c>
      <c r="AF241" s="1">
        <v>0</v>
      </c>
      <c r="AG241" s="1">
        <v>0</v>
      </c>
      <c r="AH241" s="1">
        <v>0</v>
      </c>
      <c r="AI241" s="1">
        <f>Table1[[#This Row],[NWS_pin]]*Table1[[#This Row],[Perc_pop_Northern_Aleppo]]</f>
        <v>0</v>
      </c>
      <c r="AJ241" s="1">
        <f>Table1[[#This Row],[NWS_pin]]*Table1[[#This Row],[Perc_pop_Afrin District]]</f>
        <v>0</v>
      </c>
      <c r="AK241" s="1">
        <f>Table1[[#This Row],[NWS_pin]]*Table1[[#This Row],[Perc_pop_Euphrates Shiled]]</f>
        <v>0</v>
      </c>
      <c r="AL241" s="1">
        <f>Table1[[#This Row],[NWS_pin]]*Table1[[#This Row],[Perc_Pop_Idleb_NSAG]]</f>
        <v>0</v>
      </c>
      <c r="AM241" s="4">
        <v>0.53265988684299903</v>
      </c>
      <c r="AN241" s="4">
        <v>0.46734011315700102</v>
      </c>
      <c r="AO241" s="4">
        <v>0.103162715729056</v>
      </c>
      <c r="AP241" s="4">
        <v>0.51855723441336699</v>
      </c>
      <c r="AQ241" s="4">
        <v>0.46385226140466701</v>
      </c>
      <c r="AR241" s="4">
        <v>2.8944407049179802E-3</v>
      </c>
      <c r="AS241" s="4">
        <v>0</v>
      </c>
      <c r="AT241" s="4">
        <v>1.4696063477048001E-2</v>
      </c>
      <c r="AU241" s="4">
        <v>5.2077657347656001E-2</v>
      </c>
      <c r="AV241" s="4">
        <v>5.1119481601942303E-2</v>
      </c>
      <c r="AW241" s="4">
        <v>5.3169756591694498E-2</v>
      </c>
      <c r="AX241" s="4">
        <v>5.0917275635335102E-2</v>
      </c>
      <c r="AY241" s="4">
        <v>5.0176909162677398E-2</v>
      </c>
      <c r="AZ241" s="4">
        <v>5.1761122569175602E-2</v>
      </c>
      <c r="BA241" s="4">
        <v>8.4729306520399394E-2</v>
      </c>
      <c r="BB241" s="4">
        <v>8.2131977681588794E-2</v>
      </c>
      <c r="BC241" s="4">
        <v>8.7689662043979599E-2</v>
      </c>
      <c r="BD241" s="4">
        <v>8.0020163969819397E-2</v>
      </c>
      <c r="BE241" s="4">
        <v>6.4836119243077001E-2</v>
      </c>
      <c r="BF241" s="4">
        <v>9.7326471128709902E-2</v>
      </c>
      <c r="BG241" s="4">
        <v>0.12189186364571999</v>
      </c>
      <c r="BH241" s="4">
        <v>0.145520744252468</v>
      </c>
      <c r="BI241" s="4">
        <v>9.4960392291389403E-2</v>
      </c>
      <c r="BJ241" s="4">
        <v>0.14980279990012199</v>
      </c>
      <c r="BK241" s="4">
        <v>0.202488813603594</v>
      </c>
      <c r="BL241" s="4">
        <v>8.9752901961933099E-2</v>
      </c>
      <c r="BM241" s="4">
        <v>3.0002096111300901E-2</v>
      </c>
      <c r="BN241" s="4">
        <v>9.0429040512069493E-3</v>
      </c>
      <c r="BO241" s="4">
        <v>5.3890738572642198E-2</v>
      </c>
      <c r="BP241" s="4">
        <v>2.9823952193886599E-2</v>
      </c>
      <c r="BQ241" s="4">
        <v>4.7799055544444696E-3</v>
      </c>
      <c r="BR241" s="4">
        <v>5.8368386265555003E-2</v>
      </c>
      <c r="BS241" s="4">
        <v>2.7394424013843299E-2</v>
      </c>
      <c r="BT241" s="4">
        <v>5.1429485663368101E-2</v>
      </c>
      <c r="BU241" s="4">
        <v>0</v>
      </c>
      <c r="BV241" s="4">
        <v>5.86671598855069E-2</v>
      </c>
      <c r="BW241" s="4">
        <v>7.40443538753537E-2</v>
      </c>
      <c r="BX241" s="4">
        <v>4.1140707137285397E-2</v>
      </c>
      <c r="BY241" s="4">
        <v>7.3522336828502594E-2</v>
      </c>
      <c r="BZ241" s="4">
        <v>7.1865887388608496E-2</v>
      </c>
      <c r="CA241" s="4">
        <v>7.5410306952134507E-2</v>
      </c>
      <c r="CB241" s="4">
        <v>0.10849694515552701</v>
      </c>
      <c r="CC241" s="4">
        <v>0.14304176305993799</v>
      </c>
      <c r="CD241" s="4">
        <v>6.9123824214389104E-2</v>
      </c>
      <c r="CE241" s="4">
        <v>8.2801588525413597E-2</v>
      </c>
      <c r="CF241" s="4">
        <v>4.0904416192109001E-2</v>
      </c>
      <c r="CG241" s="4">
        <v>0.130554696905824</v>
      </c>
      <c r="CH241" s="4">
        <v>4.0170244988804601E-2</v>
      </c>
      <c r="CI241" s="4">
        <v>8.6172386696240499E-3</v>
      </c>
      <c r="CJ241" s="4">
        <v>7.6133391105228307E-2</v>
      </c>
      <c r="CK241" s="4">
        <v>9.6821852781622999E-3</v>
      </c>
      <c r="CL241" s="4">
        <v>0</v>
      </c>
      <c r="CM241" s="4">
        <v>2.0717642260059101E-2</v>
      </c>
      <c r="CN241" s="4">
        <v>0</v>
      </c>
      <c r="CO241" s="4">
        <v>0</v>
      </c>
      <c r="CP241" s="4">
        <v>0</v>
      </c>
      <c r="CQ241" s="4">
        <v>0</v>
      </c>
      <c r="CR241" s="4">
        <v>0</v>
      </c>
      <c r="CS241" s="4">
        <v>0</v>
      </c>
      <c r="CT241" s="1">
        <f>Table1[[#This Row],[Female %]]*Table1[[#This Row],[NWS_pin]]</f>
        <v>0</v>
      </c>
      <c r="CU241" s="1">
        <f>Table1[[#This Row],[Male %]]*Table1[[#This Row],[NWS_pin]]</f>
        <v>0</v>
      </c>
      <c r="CV241" s="1">
        <f>Table1[[#This Row],[Female% (0-2)22]]+Table1[[#This Row],[Male%(0-2)3]]</f>
        <v>0</v>
      </c>
      <c r="CW241" s="1">
        <f>$CT241*Table1[[#This Row],[Female% (0-2)]]</f>
        <v>0</v>
      </c>
      <c r="CX241" s="1">
        <f>$CU241*Table1[[#This Row],[Male%(0-2)]]</f>
        <v>0</v>
      </c>
      <c r="CY241" s="1">
        <f>Table1[[#This Row],[Female%  (3-5)5]]+Table1[[#This Row],[Male% (3-5)6]]</f>
        <v>0</v>
      </c>
      <c r="CZ241" s="1">
        <f>$AF241*Table1[[#This Row],[Female%  (3-5)]]</f>
        <v>0</v>
      </c>
      <c r="DA241" s="1">
        <f>$CU241*Table1[[#This Row],[Male% (3-5)]]</f>
        <v>0</v>
      </c>
      <c r="DB241" s="1">
        <f>Table1[[#This Row],[Female% (6-8)8]]+Table1[[#This Row],[Male%(6-8)9]]</f>
        <v>0</v>
      </c>
      <c r="DC241" s="1">
        <f>$CT241*Table1[[#This Row],[Female% (6-8)]]</f>
        <v>0</v>
      </c>
      <c r="DD241" s="1">
        <f>$CU241*Table1[[#This Row],[Male%(6-8)]]</f>
        <v>0</v>
      </c>
      <c r="DE241" s="1">
        <f>Table1[[#This Row],[Female% (9 - 11)11]]+Table1[[#This Row],[Male% (9 - 11)12]]</f>
        <v>0</v>
      </c>
      <c r="DF241" s="1">
        <f>$CT241*Table1[[#This Row],[Female% (9 - 11)]]</f>
        <v>0</v>
      </c>
      <c r="DG241" s="1">
        <f>$CU241*Table1[[#This Row],[Male% (9 - 11)]]</f>
        <v>0</v>
      </c>
      <c r="DH241" s="1">
        <f>Table1[[#This Row],[Female% (12-14)14]]+Table1[[#This Row],[Male%(12-14)15]]</f>
        <v>0</v>
      </c>
      <c r="DI241" s="1">
        <f>$CT241*Table1[[#This Row],[Female% (12-14)]]</f>
        <v>0</v>
      </c>
      <c r="DJ241" s="1">
        <f>$CU241*Table1[[#This Row],[Male%(12-14)]]</f>
        <v>0</v>
      </c>
      <c r="DK241" s="1">
        <f>Table1[[#This Row],[Female% (15-17)17]]+Table1[[#This Row],[Male%(15-17)18]]</f>
        <v>0</v>
      </c>
      <c r="DL241" s="1">
        <f>$CT241*Table1[[#This Row],[Female% (15-17)]]</f>
        <v>0</v>
      </c>
      <c r="DM241" s="1">
        <f>$CU241*Table1[[#This Row],[Male%(15-17)]]</f>
        <v>0</v>
      </c>
      <c r="DN241" s="1">
        <f>$AF241*Table1[[#This Row],[Total% (18-19)]]</f>
        <v>0</v>
      </c>
      <c r="DO241" s="1">
        <f>$CT241*Table1[[#This Row],[Female% (18-19)]]</f>
        <v>0</v>
      </c>
      <c r="DP241" s="1">
        <f>$CU241*Table1[[#This Row],[Male%(18-19)]]</f>
        <v>0</v>
      </c>
      <c r="DQ241" s="1">
        <f>$AF241*Table1[[#This Row],[Total% (20-24)]]</f>
        <v>0</v>
      </c>
      <c r="DR241" s="1">
        <f>$CT241*Table1[[#This Row],[Female% (20-24)]]</f>
        <v>0</v>
      </c>
      <c r="DS241" s="1">
        <f>$CU241*Table1[[#This Row],[Male% (20-24)]]</f>
        <v>0</v>
      </c>
      <c r="DT241" s="1">
        <f>$AF241*Table1[[#This Row],[Total% (25-29)]]</f>
        <v>0</v>
      </c>
      <c r="DU241" s="1">
        <f>$CT241*Table1[[#This Row],[Female% (25-29)]]</f>
        <v>0</v>
      </c>
      <c r="DV241" s="1">
        <f>$CU241*Table1[[#This Row],[Male% (25-29)]]</f>
        <v>0</v>
      </c>
      <c r="DW241" s="1">
        <f>$AF241*Table1[[#This Row],[Total%   (30-34)]]</f>
        <v>0</v>
      </c>
      <c r="DX241" s="1">
        <f>$CT241*Table1[[#This Row],[Female%   (30-34)]]</f>
        <v>0</v>
      </c>
      <c r="DY241" s="1">
        <f>$CU241*Table1[[#This Row],[Male%  (30-34)]]</f>
        <v>0</v>
      </c>
      <c r="DZ241" s="1">
        <f>$AF241*Table1[[#This Row],[Total% (35-39)]]</f>
        <v>0</v>
      </c>
      <c r="EA241" s="1">
        <f>$CT241*Table1[[#This Row],[Female% (35-39)]]</f>
        <v>0</v>
      </c>
      <c r="EB241" s="1">
        <f>$CU241*Table1[[#This Row],[Male% (35-39)]]</f>
        <v>0</v>
      </c>
      <c r="EC241" s="1">
        <f>$AF241*Table1[[#This Row],[Total% (40-44)]]</f>
        <v>0</v>
      </c>
      <c r="ED241" s="1">
        <f>$CT241*Table1[[#This Row],[Female% (40-44)]]</f>
        <v>0</v>
      </c>
      <c r="EE241" s="1">
        <f>$CU241*Table1[[#This Row],[Male%(55-59)]]</f>
        <v>0</v>
      </c>
      <c r="EF241" s="1">
        <f>$AF241*Table1[[#This Row],[Total% (45-49)]]</f>
        <v>0</v>
      </c>
      <c r="EG241" s="1">
        <f>$CT241*Table1[[#This Row],[Female% (45-49)]]</f>
        <v>0</v>
      </c>
      <c r="EH241" s="1">
        <f>$CU241*Table1[[#This Row],[Male% (45-49)]]</f>
        <v>0</v>
      </c>
      <c r="EI241" s="1">
        <f>$AF241*Table1[[#This Row],[Total% (50-54)]]</f>
        <v>0</v>
      </c>
      <c r="EJ241" s="1">
        <f>$CT241*Table1[[#This Row],[Female%(50-54)]]</f>
        <v>0</v>
      </c>
      <c r="EK241" s="1">
        <f>$CU241*Table1[[#This Row],[Male% (50-54)]]</f>
        <v>0</v>
      </c>
      <c r="EL241" s="1">
        <f>$AF241*Table1[[#This Row],[Total% (55-59)]]</f>
        <v>0</v>
      </c>
      <c r="EM241" s="1">
        <f>$CT241*Table1[[#This Row],[Female% (55-59)]]</f>
        <v>0</v>
      </c>
      <c r="EN241" s="1">
        <f>$CU241*Table1[[#This Row],[Male% (55-59)]]</f>
        <v>0</v>
      </c>
      <c r="EO241" s="1">
        <f>$AF241*Table1[[#This Row],[Total% (60-64)]]</f>
        <v>0</v>
      </c>
      <c r="EP241" s="1">
        <f>$CT241*Table1[[#This Row],[Female%(60-64)]]</f>
        <v>0</v>
      </c>
      <c r="EQ241" s="1">
        <f>$CU241*Table1[[#This Row],[Male%(60-64)]]</f>
        <v>0</v>
      </c>
      <c r="ER241" s="1">
        <f>$AF241*Table1[[#This Row],[Total% (&gt;=65)]]</f>
        <v>0</v>
      </c>
      <c r="ES241" s="1">
        <f>$CT241*Table1[[#This Row],[Female%(&gt;=65)]]</f>
        <v>0</v>
      </c>
      <c r="ET241" s="1">
        <f>$CU241*Table1[[#This Row],[Male% (&gt;=65)]]</f>
        <v>0</v>
      </c>
    </row>
    <row r="242" spans="1:150" hidden="1" x14ac:dyDescent="0.35">
      <c r="A242" t="s">
        <v>28</v>
      </c>
      <c r="B242" t="s">
        <v>29</v>
      </c>
      <c r="C242" t="s">
        <v>28</v>
      </c>
      <c r="D242" t="s">
        <v>39</v>
      </c>
      <c r="E242" t="s">
        <v>198</v>
      </c>
      <c r="F242" t="s">
        <v>199</v>
      </c>
      <c r="H242">
        <v>3</v>
      </c>
      <c r="I242" s="1">
        <v>0</v>
      </c>
      <c r="J242" s="1">
        <v>22436</v>
      </c>
      <c r="K242" s="1">
        <v>25580</v>
      </c>
      <c r="L242" s="1">
        <v>0</v>
      </c>
      <c r="M242" s="1">
        <v>0</v>
      </c>
      <c r="N242" s="1">
        <v>25580</v>
      </c>
      <c r="O242" s="3">
        <v>1</v>
      </c>
      <c r="P242" s="3">
        <v>0</v>
      </c>
      <c r="Q242" s="3">
        <v>0</v>
      </c>
      <c r="R242" s="3">
        <v>0</v>
      </c>
      <c r="S242" s="3">
        <v>0</v>
      </c>
      <c r="T242" s="1">
        <v>48016</v>
      </c>
      <c r="U242" s="1">
        <v>0</v>
      </c>
      <c r="V242" s="10">
        <f>Table1[[#This Row],[Pop NW+RATAA]]*Table1[[#This Row],[Perc_pop_Northern_Aleppo]]</f>
        <v>0</v>
      </c>
      <c r="W242" s="10">
        <f>Table1[[#This Row],[Pop NW+RATAA]]*Table1[[#This Row],[Perc_pop_Afrin District]]</f>
        <v>0</v>
      </c>
      <c r="X242" s="10">
        <f>Table1[[#This Row],[Pop NW+RATAA]]*Table1[[#This Row],[Perc_pop_Euphrates Shiled]]</f>
        <v>0</v>
      </c>
      <c r="Y242" s="10">
        <f>Table1[[#This Row],[Pop NW+RATAA]]*Table1[[#This Row],[Perc_Pop_Idleb_NSAG]]</f>
        <v>0</v>
      </c>
      <c r="Z242" s="3">
        <v>0</v>
      </c>
      <c r="AA242" s="3">
        <v>0</v>
      </c>
      <c r="AB242" s="3">
        <v>0</v>
      </c>
      <c r="AC242" s="3">
        <v>0</v>
      </c>
      <c r="AD242" s="1">
        <v>25580</v>
      </c>
      <c r="AE242" s="1">
        <v>0</v>
      </c>
      <c r="AF242" s="1">
        <v>0</v>
      </c>
      <c r="AG242" s="1">
        <v>0</v>
      </c>
      <c r="AH242" s="1">
        <v>0</v>
      </c>
      <c r="AI242" s="1">
        <f>Table1[[#This Row],[NWS_pin]]*Table1[[#This Row],[Perc_pop_Northern_Aleppo]]</f>
        <v>0</v>
      </c>
      <c r="AJ242" s="1">
        <f>Table1[[#This Row],[NWS_pin]]*Table1[[#This Row],[Perc_pop_Afrin District]]</f>
        <v>0</v>
      </c>
      <c r="AK242" s="1">
        <f>Table1[[#This Row],[NWS_pin]]*Table1[[#This Row],[Perc_pop_Euphrates Shiled]]</f>
        <v>0</v>
      </c>
      <c r="AL242" s="1">
        <f>Table1[[#This Row],[NWS_pin]]*Table1[[#This Row],[Perc_Pop_Idleb_NSAG]]</f>
        <v>0</v>
      </c>
      <c r="AM242" s="4">
        <v>0.46761232137709702</v>
      </c>
      <c r="AN242" s="4">
        <v>0.53238767862290304</v>
      </c>
      <c r="AO242" s="4">
        <v>0.115660523900304</v>
      </c>
      <c r="AP242" s="4">
        <v>0.24359764596098199</v>
      </c>
      <c r="AQ242" s="4">
        <v>0.72492685939466195</v>
      </c>
      <c r="AR242" s="4">
        <v>1.19753178739081E-2</v>
      </c>
      <c r="AS242" s="4">
        <v>0</v>
      </c>
      <c r="AT242" s="4">
        <v>1.9500176770447498E-2</v>
      </c>
      <c r="AU242" s="4">
        <v>0.13240420284752</v>
      </c>
      <c r="AV242" s="4">
        <v>0.168162866711834</v>
      </c>
      <c r="AW242" s="4">
        <v>0.100996278715642</v>
      </c>
      <c r="AX242" s="4">
        <v>0.180453944251869</v>
      </c>
      <c r="AY242" s="4">
        <v>0.13207353875127201</v>
      </c>
      <c r="AZ242" s="4">
        <v>0.22294792868031801</v>
      </c>
      <c r="BA242" s="4">
        <v>0.122825588763331</v>
      </c>
      <c r="BB242" s="4">
        <v>0.110514815990519</v>
      </c>
      <c r="BC242" s="4">
        <v>0.13363851563108001</v>
      </c>
      <c r="BD242" s="4">
        <v>3.7937102953541503E-2</v>
      </c>
      <c r="BE242" s="4">
        <v>3.2686214835680599E-2</v>
      </c>
      <c r="BF242" s="4">
        <v>4.25491179957296E-2</v>
      </c>
      <c r="BG242" s="4">
        <v>2.0063908760415399E-2</v>
      </c>
      <c r="BH242" s="4">
        <v>2.4119491364119498E-2</v>
      </c>
      <c r="BI242" s="4">
        <v>1.6501766975391199E-2</v>
      </c>
      <c r="BJ242" s="4">
        <v>1.9215974536108599E-2</v>
      </c>
      <c r="BK242" s="4">
        <v>1.4317404678784699E-2</v>
      </c>
      <c r="BL242" s="4">
        <v>2.3518537714009601E-2</v>
      </c>
      <c r="BM242" s="4">
        <v>1.0875679988467399E-2</v>
      </c>
      <c r="BN242" s="4">
        <v>1.34107409901444E-2</v>
      </c>
      <c r="BO242" s="4">
        <v>8.6490586607669302E-3</v>
      </c>
      <c r="BP242" s="4">
        <v>2.2899027012934399E-2</v>
      </c>
      <c r="BQ242" s="4">
        <v>1.0488143383238E-2</v>
      </c>
      <c r="BR242" s="4">
        <v>3.3799884296925098E-2</v>
      </c>
      <c r="BS242" s="4">
        <v>0.116603692156779</v>
      </c>
      <c r="BT242" s="4">
        <v>0.17349759113057101</v>
      </c>
      <c r="BU242" s="4">
        <v>6.6632046982449303E-2</v>
      </c>
      <c r="BV242" s="4">
        <v>0.17024932770314799</v>
      </c>
      <c r="BW242" s="4">
        <v>0.18142640328461801</v>
      </c>
      <c r="BX242" s="4">
        <v>0.16043216162526699</v>
      </c>
      <c r="BY242" s="4">
        <v>9.8124052727850797E-2</v>
      </c>
      <c r="BZ242" s="4">
        <v>6.76512067558077E-2</v>
      </c>
      <c r="CA242" s="4">
        <v>0.124889281932276</v>
      </c>
      <c r="CB242" s="4">
        <v>2.6605199650374001E-2</v>
      </c>
      <c r="CC242" s="4">
        <v>1.8787651675499499E-2</v>
      </c>
      <c r="CD242" s="4">
        <v>3.3471590257804197E-2</v>
      </c>
      <c r="CE242" s="4">
        <v>1.04306371229039E-2</v>
      </c>
      <c r="CF242" s="4">
        <v>1.3365669993409299E-2</v>
      </c>
      <c r="CG242" s="4">
        <v>7.8527083146243092E-3</v>
      </c>
      <c r="CH242" s="4">
        <v>4.6046522626790199E-3</v>
      </c>
      <c r="CI242" s="4">
        <v>5.3769106853551003E-3</v>
      </c>
      <c r="CJ242" s="4">
        <v>3.9263541573121598E-3</v>
      </c>
      <c r="CK242" s="4">
        <v>1.3265755375423001E-2</v>
      </c>
      <c r="CL242" s="4">
        <v>2.38988843733824E-2</v>
      </c>
      <c r="CM242" s="4">
        <v>3.9263541573121598E-3</v>
      </c>
      <c r="CN242" s="4">
        <v>1.1051178499699501E-2</v>
      </c>
      <c r="CO242" s="4">
        <v>1.02224653957657E-2</v>
      </c>
      <c r="CP242" s="4">
        <v>1.17790624719365E-2</v>
      </c>
      <c r="CQ242" s="4">
        <v>2.3900753869555299E-3</v>
      </c>
      <c r="CR242" s="4">
        <v>0</v>
      </c>
      <c r="CS242" s="4">
        <v>4.4893514311559598E-3</v>
      </c>
      <c r="CT242" s="1">
        <f>Table1[[#This Row],[Female %]]*Table1[[#This Row],[NWS_pin]]</f>
        <v>0</v>
      </c>
      <c r="CU242" s="1">
        <f>Table1[[#This Row],[Male %]]*Table1[[#This Row],[NWS_pin]]</f>
        <v>0</v>
      </c>
      <c r="CV242" s="1">
        <f>Table1[[#This Row],[Female% (0-2)22]]+Table1[[#This Row],[Male%(0-2)3]]</f>
        <v>0</v>
      </c>
      <c r="CW242" s="1">
        <f>$CT242*Table1[[#This Row],[Female% (0-2)]]</f>
        <v>0</v>
      </c>
      <c r="CX242" s="1">
        <f>$CU242*Table1[[#This Row],[Male%(0-2)]]</f>
        <v>0</v>
      </c>
      <c r="CY242" s="1">
        <f>Table1[[#This Row],[Female%  (3-5)5]]+Table1[[#This Row],[Male% (3-5)6]]</f>
        <v>0</v>
      </c>
      <c r="CZ242" s="1">
        <f>$AF242*Table1[[#This Row],[Female%  (3-5)]]</f>
        <v>0</v>
      </c>
      <c r="DA242" s="1">
        <f>$CU242*Table1[[#This Row],[Male% (3-5)]]</f>
        <v>0</v>
      </c>
      <c r="DB242" s="1">
        <f>Table1[[#This Row],[Female% (6-8)8]]+Table1[[#This Row],[Male%(6-8)9]]</f>
        <v>0</v>
      </c>
      <c r="DC242" s="1">
        <f>$CT242*Table1[[#This Row],[Female% (6-8)]]</f>
        <v>0</v>
      </c>
      <c r="DD242" s="1">
        <f>$CU242*Table1[[#This Row],[Male%(6-8)]]</f>
        <v>0</v>
      </c>
      <c r="DE242" s="1">
        <f>Table1[[#This Row],[Female% (9 - 11)11]]+Table1[[#This Row],[Male% (9 - 11)12]]</f>
        <v>0</v>
      </c>
      <c r="DF242" s="1">
        <f>$CT242*Table1[[#This Row],[Female% (9 - 11)]]</f>
        <v>0</v>
      </c>
      <c r="DG242" s="1">
        <f>$CU242*Table1[[#This Row],[Male% (9 - 11)]]</f>
        <v>0</v>
      </c>
      <c r="DH242" s="1">
        <f>Table1[[#This Row],[Female% (12-14)14]]+Table1[[#This Row],[Male%(12-14)15]]</f>
        <v>0</v>
      </c>
      <c r="DI242" s="1">
        <f>$CT242*Table1[[#This Row],[Female% (12-14)]]</f>
        <v>0</v>
      </c>
      <c r="DJ242" s="1">
        <f>$CU242*Table1[[#This Row],[Male%(12-14)]]</f>
        <v>0</v>
      </c>
      <c r="DK242" s="1">
        <f>Table1[[#This Row],[Female% (15-17)17]]+Table1[[#This Row],[Male%(15-17)18]]</f>
        <v>0</v>
      </c>
      <c r="DL242" s="1">
        <f>$CT242*Table1[[#This Row],[Female% (15-17)]]</f>
        <v>0</v>
      </c>
      <c r="DM242" s="1">
        <f>$CU242*Table1[[#This Row],[Male%(15-17)]]</f>
        <v>0</v>
      </c>
      <c r="DN242" s="1">
        <f>$AF242*Table1[[#This Row],[Total% (18-19)]]</f>
        <v>0</v>
      </c>
      <c r="DO242" s="1">
        <f>$CT242*Table1[[#This Row],[Female% (18-19)]]</f>
        <v>0</v>
      </c>
      <c r="DP242" s="1">
        <f>$CU242*Table1[[#This Row],[Male%(18-19)]]</f>
        <v>0</v>
      </c>
      <c r="DQ242" s="1">
        <f>$AF242*Table1[[#This Row],[Total% (20-24)]]</f>
        <v>0</v>
      </c>
      <c r="DR242" s="1">
        <f>$CT242*Table1[[#This Row],[Female% (20-24)]]</f>
        <v>0</v>
      </c>
      <c r="DS242" s="1">
        <f>$CU242*Table1[[#This Row],[Male% (20-24)]]</f>
        <v>0</v>
      </c>
      <c r="DT242" s="1">
        <f>$AF242*Table1[[#This Row],[Total% (25-29)]]</f>
        <v>0</v>
      </c>
      <c r="DU242" s="1">
        <f>$CT242*Table1[[#This Row],[Female% (25-29)]]</f>
        <v>0</v>
      </c>
      <c r="DV242" s="1">
        <f>$CU242*Table1[[#This Row],[Male% (25-29)]]</f>
        <v>0</v>
      </c>
      <c r="DW242" s="1">
        <f>$AF242*Table1[[#This Row],[Total%   (30-34)]]</f>
        <v>0</v>
      </c>
      <c r="DX242" s="1">
        <f>$CT242*Table1[[#This Row],[Female%   (30-34)]]</f>
        <v>0</v>
      </c>
      <c r="DY242" s="1">
        <f>$CU242*Table1[[#This Row],[Male%  (30-34)]]</f>
        <v>0</v>
      </c>
      <c r="DZ242" s="1">
        <f>$AF242*Table1[[#This Row],[Total% (35-39)]]</f>
        <v>0</v>
      </c>
      <c r="EA242" s="1">
        <f>$CT242*Table1[[#This Row],[Female% (35-39)]]</f>
        <v>0</v>
      </c>
      <c r="EB242" s="1">
        <f>$CU242*Table1[[#This Row],[Male% (35-39)]]</f>
        <v>0</v>
      </c>
      <c r="EC242" s="1">
        <f>$AF242*Table1[[#This Row],[Total% (40-44)]]</f>
        <v>0</v>
      </c>
      <c r="ED242" s="1">
        <f>$CT242*Table1[[#This Row],[Female% (40-44)]]</f>
        <v>0</v>
      </c>
      <c r="EE242" s="1">
        <f>$CU242*Table1[[#This Row],[Male%(55-59)]]</f>
        <v>0</v>
      </c>
      <c r="EF242" s="1">
        <f>$AF242*Table1[[#This Row],[Total% (45-49)]]</f>
        <v>0</v>
      </c>
      <c r="EG242" s="1">
        <f>$CT242*Table1[[#This Row],[Female% (45-49)]]</f>
        <v>0</v>
      </c>
      <c r="EH242" s="1">
        <f>$CU242*Table1[[#This Row],[Male% (45-49)]]</f>
        <v>0</v>
      </c>
      <c r="EI242" s="1">
        <f>$AF242*Table1[[#This Row],[Total% (50-54)]]</f>
        <v>0</v>
      </c>
      <c r="EJ242" s="1">
        <f>$CT242*Table1[[#This Row],[Female%(50-54)]]</f>
        <v>0</v>
      </c>
      <c r="EK242" s="1">
        <f>$CU242*Table1[[#This Row],[Male% (50-54)]]</f>
        <v>0</v>
      </c>
      <c r="EL242" s="1">
        <f>$AF242*Table1[[#This Row],[Total% (55-59)]]</f>
        <v>0</v>
      </c>
      <c r="EM242" s="1">
        <f>$CT242*Table1[[#This Row],[Female% (55-59)]]</f>
        <v>0</v>
      </c>
      <c r="EN242" s="1">
        <f>$CU242*Table1[[#This Row],[Male% (55-59)]]</f>
        <v>0</v>
      </c>
      <c r="EO242" s="1">
        <f>$AF242*Table1[[#This Row],[Total% (60-64)]]</f>
        <v>0</v>
      </c>
      <c r="EP242" s="1">
        <f>$CT242*Table1[[#This Row],[Female%(60-64)]]</f>
        <v>0</v>
      </c>
      <c r="EQ242" s="1">
        <f>$CU242*Table1[[#This Row],[Male%(60-64)]]</f>
        <v>0</v>
      </c>
      <c r="ER242" s="1">
        <f>$AF242*Table1[[#This Row],[Total% (&gt;=65)]]</f>
        <v>0</v>
      </c>
      <c r="ES242" s="1">
        <f>$CT242*Table1[[#This Row],[Female%(&gt;=65)]]</f>
        <v>0</v>
      </c>
      <c r="ET242" s="1">
        <f>$CU242*Table1[[#This Row],[Male% (&gt;=65)]]</f>
        <v>0</v>
      </c>
    </row>
    <row r="243" spans="1:150" hidden="1" x14ac:dyDescent="0.35">
      <c r="A243" t="s">
        <v>28</v>
      </c>
      <c r="B243" t="s">
        <v>29</v>
      </c>
      <c r="C243" t="s">
        <v>28</v>
      </c>
      <c r="D243" t="s">
        <v>39</v>
      </c>
      <c r="E243" t="s">
        <v>292</v>
      </c>
      <c r="F243" t="s">
        <v>293</v>
      </c>
      <c r="H243">
        <v>4</v>
      </c>
      <c r="I243" s="1">
        <v>0</v>
      </c>
      <c r="J243" s="1">
        <v>0</v>
      </c>
      <c r="K243" s="1">
        <v>10850</v>
      </c>
      <c r="L243" s="1">
        <v>30773</v>
      </c>
      <c r="M243" s="1">
        <v>0</v>
      </c>
      <c r="N243" s="1">
        <v>41623</v>
      </c>
      <c r="O243" s="3">
        <v>1</v>
      </c>
      <c r="P243" s="3">
        <v>0</v>
      </c>
      <c r="Q243" s="3">
        <v>0</v>
      </c>
      <c r="R243" s="3">
        <v>0</v>
      </c>
      <c r="S243" s="3">
        <v>0</v>
      </c>
      <c r="T243" s="1">
        <v>41623</v>
      </c>
      <c r="U243" s="1">
        <v>0</v>
      </c>
      <c r="V243" s="10">
        <f>Table1[[#This Row],[Pop NW+RATAA]]*Table1[[#This Row],[Perc_pop_Northern_Aleppo]]</f>
        <v>0</v>
      </c>
      <c r="W243" s="10">
        <f>Table1[[#This Row],[Pop NW+RATAA]]*Table1[[#This Row],[Perc_pop_Afrin District]]</f>
        <v>0</v>
      </c>
      <c r="X243" s="10">
        <f>Table1[[#This Row],[Pop NW+RATAA]]*Table1[[#This Row],[Perc_pop_Euphrates Shiled]]</f>
        <v>0</v>
      </c>
      <c r="Y243" s="10">
        <f>Table1[[#This Row],[Pop NW+RATAA]]*Table1[[#This Row],[Perc_Pop_Idleb_NSAG]]</f>
        <v>0</v>
      </c>
      <c r="Z243" s="3">
        <v>0</v>
      </c>
      <c r="AA243" s="3">
        <v>0</v>
      </c>
      <c r="AB243" s="3">
        <v>0</v>
      </c>
      <c r="AC243" s="3">
        <v>0</v>
      </c>
      <c r="AD243" s="1">
        <v>41623</v>
      </c>
      <c r="AE243" s="1">
        <v>0</v>
      </c>
      <c r="AF243" s="1">
        <v>0</v>
      </c>
      <c r="AG243" s="1">
        <v>0</v>
      </c>
      <c r="AH243" s="1">
        <v>0</v>
      </c>
      <c r="AI243" s="1">
        <f>Table1[[#This Row],[NWS_pin]]*Table1[[#This Row],[Perc_pop_Northern_Aleppo]]</f>
        <v>0</v>
      </c>
      <c r="AJ243" s="1">
        <f>Table1[[#This Row],[NWS_pin]]*Table1[[#This Row],[Perc_pop_Afrin District]]</f>
        <v>0</v>
      </c>
      <c r="AK243" s="1">
        <f>Table1[[#This Row],[NWS_pin]]*Table1[[#This Row],[Perc_pop_Euphrates Shiled]]</f>
        <v>0</v>
      </c>
      <c r="AL243" s="1">
        <f>Table1[[#This Row],[NWS_pin]]*Table1[[#This Row],[Perc_Pop_Idleb_NSAG]]</f>
        <v>0</v>
      </c>
      <c r="AM243" s="4">
        <v>0.523116551836733</v>
      </c>
      <c r="AN243" s="4">
        <v>0.476883448163267</v>
      </c>
      <c r="AO243" s="4">
        <v>0.13065076097049</v>
      </c>
      <c r="AP243" s="4">
        <v>0.48137047480913497</v>
      </c>
      <c r="AQ243" s="4">
        <v>0.46016415121961102</v>
      </c>
      <c r="AR243" s="4">
        <v>6.9124322664137396E-3</v>
      </c>
      <c r="AS243" s="4">
        <v>0</v>
      </c>
      <c r="AT243" s="4">
        <v>5.1552941704840198E-2</v>
      </c>
      <c r="AU243" s="4">
        <v>7.1219228224230893E-2</v>
      </c>
      <c r="AV243" s="4">
        <v>8.42295584274044E-2</v>
      </c>
      <c r="AW243" s="4">
        <v>5.6947566877302798E-2</v>
      </c>
      <c r="AX243" s="4">
        <v>0.111133706616959</v>
      </c>
      <c r="AY243" s="4">
        <v>0.12458408204739101</v>
      </c>
      <c r="AZ243" s="4">
        <v>9.63793383469395E-2</v>
      </c>
      <c r="BA243" s="4">
        <v>0.11741171087586399</v>
      </c>
      <c r="BB243" s="4">
        <v>0.12906337408633101</v>
      </c>
      <c r="BC243" s="4">
        <v>0.10463043715940699</v>
      </c>
      <c r="BD243" s="4">
        <v>0.10622940533769901</v>
      </c>
      <c r="BE243" s="4">
        <v>0.10761348863942</v>
      </c>
      <c r="BF243" s="4">
        <v>0.104711137326847</v>
      </c>
      <c r="BG243" s="4">
        <v>8.6292538069639296E-2</v>
      </c>
      <c r="BH243" s="4">
        <v>5.16276885437238E-2</v>
      </c>
      <c r="BI243" s="4">
        <v>0.124318090484551</v>
      </c>
      <c r="BJ243" s="4">
        <v>6.1757300500129897E-2</v>
      </c>
      <c r="BK243" s="4">
        <v>5.6685254705093502E-2</v>
      </c>
      <c r="BL243" s="4">
        <v>6.7321073194017006E-2</v>
      </c>
      <c r="BM243" s="4">
        <v>1.21262600854727E-2</v>
      </c>
      <c r="BN243" s="4">
        <v>6.0233410977319499E-3</v>
      </c>
      <c r="BO243" s="4">
        <v>1.8820847514124401E-2</v>
      </c>
      <c r="BP243" s="4">
        <v>5.1140175315627402E-2</v>
      </c>
      <c r="BQ243" s="4">
        <v>4.8920960933083998E-2</v>
      </c>
      <c r="BR243" s="4">
        <v>5.3574539058076097E-2</v>
      </c>
      <c r="BS243" s="4">
        <v>8.1511723029707203E-2</v>
      </c>
      <c r="BT243" s="4">
        <v>9.9307480352795893E-2</v>
      </c>
      <c r="BU243" s="4">
        <v>6.1990694895825899E-2</v>
      </c>
      <c r="BV243" s="4">
        <v>6.7795193480028298E-2</v>
      </c>
      <c r="BW243" s="4">
        <v>7.9217315445399505E-2</v>
      </c>
      <c r="BX243" s="4">
        <v>5.5265714673001502E-2</v>
      </c>
      <c r="BY243" s="4">
        <v>6.4978188459084499E-2</v>
      </c>
      <c r="BZ243" s="4">
        <v>4.73478537159982E-2</v>
      </c>
      <c r="CA243" s="4">
        <v>8.4317756552823697E-2</v>
      </c>
      <c r="CB243" s="4">
        <v>6.1376073997915399E-2</v>
      </c>
      <c r="CC243" s="4">
        <v>8.5499416717223803E-2</v>
      </c>
      <c r="CD243" s="4">
        <v>3.4914010970347201E-2</v>
      </c>
      <c r="CE243" s="4">
        <v>5.7844003874463298E-2</v>
      </c>
      <c r="CF243" s="4">
        <v>4.9438305171218798E-2</v>
      </c>
      <c r="CG243" s="4">
        <v>6.7064621906721605E-2</v>
      </c>
      <c r="CH243" s="4">
        <v>2.8577993275502301E-2</v>
      </c>
      <c r="CI243" s="4">
        <v>1.7246247567600501E-2</v>
      </c>
      <c r="CJ243" s="4">
        <v>4.1008333988394603E-2</v>
      </c>
      <c r="CK243" s="4">
        <v>1.05527356334524E-2</v>
      </c>
      <c r="CL243" s="4">
        <v>1.31956325495836E-2</v>
      </c>
      <c r="CM243" s="4">
        <v>7.6536139991171502E-3</v>
      </c>
      <c r="CN243" s="4">
        <v>1.00537632242248E-2</v>
      </c>
      <c r="CO243" s="4">
        <v>0</v>
      </c>
      <c r="CP243" s="4">
        <v>2.1082223052502999E-2</v>
      </c>
      <c r="CQ243" s="4">
        <v>0</v>
      </c>
      <c r="CR243" s="4">
        <v>0</v>
      </c>
      <c r="CS243" s="4">
        <v>0</v>
      </c>
      <c r="CT243" s="1">
        <f>Table1[[#This Row],[Female %]]*Table1[[#This Row],[NWS_pin]]</f>
        <v>0</v>
      </c>
      <c r="CU243" s="1">
        <f>Table1[[#This Row],[Male %]]*Table1[[#This Row],[NWS_pin]]</f>
        <v>0</v>
      </c>
      <c r="CV243" s="1">
        <f>Table1[[#This Row],[Female% (0-2)22]]+Table1[[#This Row],[Male%(0-2)3]]</f>
        <v>0</v>
      </c>
      <c r="CW243" s="1">
        <f>$CT243*Table1[[#This Row],[Female% (0-2)]]</f>
        <v>0</v>
      </c>
      <c r="CX243" s="1">
        <f>$CU243*Table1[[#This Row],[Male%(0-2)]]</f>
        <v>0</v>
      </c>
      <c r="CY243" s="1">
        <f>Table1[[#This Row],[Female%  (3-5)5]]+Table1[[#This Row],[Male% (3-5)6]]</f>
        <v>0</v>
      </c>
      <c r="CZ243" s="1">
        <f>$AF243*Table1[[#This Row],[Female%  (3-5)]]</f>
        <v>0</v>
      </c>
      <c r="DA243" s="1">
        <f>$CU243*Table1[[#This Row],[Male% (3-5)]]</f>
        <v>0</v>
      </c>
      <c r="DB243" s="1">
        <f>Table1[[#This Row],[Female% (6-8)8]]+Table1[[#This Row],[Male%(6-8)9]]</f>
        <v>0</v>
      </c>
      <c r="DC243" s="1">
        <f>$CT243*Table1[[#This Row],[Female% (6-8)]]</f>
        <v>0</v>
      </c>
      <c r="DD243" s="1">
        <f>$CU243*Table1[[#This Row],[Male%(6-8)]]</f>
        <v>0</v>
      </c>
      <c r="DE243" s="1">
        <f>Table1[[#This Row],[Female% (9 - 11)11]]+Table1[[#This Row],[Male% (9 - 11)12]]</f>
        <v>0</v>
      </c>
      <c r="DF243" s="1">
        <f>$CT243*Table1[[#This Row],[Female% (9 - 11)]]</f>
        <v>0</v>
      </c>
      <c r="DG243" s="1">
        <f>$CU243*Table1[[#This Row],[Male% (9 - 11)]]</f>
        <v>0</v>
      </c>
      <c r="DH243" s="1">
        <f>Table1[[#This Row],[Female% (12-14)14]]+Table1[[#This Row],[Male%(12-14)15]]</f>
        <v>0</v>
      </c>
      <c r="DI243" s="1">
        <f>$CT243*Table1[[#This Row],[Female% (12-14)]]</f>
        <v>0</v>
      </c>
      <c r="DJ243" s="1">
        <f>$CU243*Table1[[#This Row],[Male%(12-14)]]</f>
        <v>0</v>
      </c>
      <c r="DK243" s="1">
        <f>Table1[[#This Row],[Female% (15-17)17]]+Table1[[#This Row],[Male%(15-17)18]]</f>
        <v>0</v>
      </c>
      <c r="DL243" s="1">
        <f>$CT243*Table1[[#This Row],[Female% (15-17)]]</f>
        <v>0</v>
      </c>
      <c r="DM243" s="1">
        <f>$CU243*Table1[[#This Row],[Male%(15-17)]]</f>
        <v>0</v>
      </c>
      <c r="DN243" s="1">
        <f>$AF243*Table1[[#This Row],[Total% (18-19)]]</f>
        <v>0</v>
      </c>
      <c r="DO243" s="1">
        <f>$CT243*Table1[[#This Row],[Female% (18-19)]]</f>
        <v>0</v>
      </c>
      <c r="DP243" s="1">
        <f>$CU243*Table1[[#This Row],[Male%(18-19)]]</f>
        <v>0</v>
      </c>
      <c r="DQ243" s="1">
        <f>$AF243*Table1[[#This Row],[Total% (20-24)]]</f>
        <v>0</v>
      </c>
      <c r="DR243" s="1">
        <f>$CT243*Table1[[#This Row],[Female% (20-24)]]</f>
        <v>0</v>
      </c>
      <c r="DS243" s="1">
        <f>$CU243*Table1[[#This Row],[Male% (20-24)]]</f>
        <v>0</v>
      </c>
      <c r="DT243" s="1">
        <f>$AF243*Table1[[#This Row],[Total% (25-29)]]</f>
        <v>0</v>
      </c>
      <c r="DU243" s="1">
        <f>$CT243*Table1[[#This Row],[Female% (25-29)]]</f>
        <v>0</v>
      </c>
      <c r="DV243" s="1">
        <f>$CU243*Table1[[#This Row],[Male% (25-29)]]</f>
        <v>0</v>
      </c>
      <c r="DW243" s="1">
        <f>$AF243*Table1[[#This Row],[Total%   (30-34)]]</f>
        <v>0</v>
      </c>
      <c r="DX243" s="1">
        <f>$CT243*Table1[[#This Row],[Female%   (30-34)]]</f>
        <v>0</v>
      </c>
      <c r="DY243" s="1">
        <f>$CU243*Table1[[#This Row],[Male%  (30-34)]]</f>
        <v>0</v>
      </c>
      <c r="DZ243" s="1">
        <f>$AF243*Table1[[#This Row],[Total% (35-39)]]</f>
        <v>0</v>
      </c>
      <c r="EA243" s="1">
        <f>$CT243*Table1[[#This Row],[Female% (35-39)]]</f>
        <v>0</v>
      </c>
      <c r="EB243" s="1">
        <f>$CU243*Table1[[#This Row],[Male% (35-39)]]</f>
        <v>0</v>
      </c>
      <c r="EC243" s="1">
        <f>$AF243*Table1[[#This Row],[Total% (40-44)]]</f>
        <v>0</v>
      </c>
      <c r="ED243" s="1">
        <f>$CT243*Table1[[#This Row],[Female% (40-44)]]</f>
        <v>0</v>
      </c>
      <c r="EE243" s="1">
        <f>$CU243*Table1[[#This Row],[Male%(55-59)]]</f>
        <v>0</v>
      </c>
      <c r="EF243" s="1">
        <f>$AF243*Table1[[#This Row],[Total% (45-49)]]</f>
        <v>0</v>
      </c>
      <c r="EG243" s="1">
        <f>$CT243*Table1[[#This Row],[Female% (45-49)]]</f>
        <v>0</v>
      </c>
      <c r="EH243" s="1">
        <f>$CU243*Table1[[#This Row],[Male% (45-49)]]</f>
        <v>0</v>
      </c>
      <c r="EI243" s="1">
        <f>$AF243*Table1[[#This Row],[Total% (50-54)]]</f>
        <v>0</v>
      </c>
      <c r="EJ243" s="1">
        <f>$CT243*Table1[[#This Row],[Female%(50-54)]]</f>
        <v>0</v>
      </c>
      <c r="EK243" s="1">
        <f>$CU243*Table1[[#This Row],[Male% (50-54)]]</f>
        <v>0</v>
      </c>
      <c r="EL243" s="1">
        <f>$AF243*Table1[[#This Row],[Total% (55-59)]]</f>
        <v>0</v>
      </c>
      <c r="EM243" s="1">
        <f>$CT243*Table1[[#This Row],[Female% (55-59)]]</f>
        <v>0</v>
      </c>
      <c r="EN243" s="1">
        <f>$CU243*Table1[[#This Row],[Male% (55-59)]]</f>
        <v>0</v>
      </c>
      <c r="EO243" s="1">
        <f>$AF243*Table1[[#This Row],[Total% (60-64)]]</f>
        <v>0</v>
      </c>
      <c r="EP243" s="1">
        <f>$CT243*Table1[[#This Row],[Female%(60-64)]]</f>
        <v>0</v>
      </c>
      <c r="EQ243" s="1">
        <f>$CU243*Table1[[#This Row],[Male%(60-64)]]</f>
        <v>0</v>
      </c>
      <c r="ER243" s="1">
        <f>$AF243*Table1[[#This Row],[Total% (&gt;=65)]]</f>
        <v>0</v>
      </c>
      <c r="ES243" s="1">
        <f>$CT243*Table1[[#This Row],[Female%(&gt;=65)]]</f>
        <v>0</v>
      </c>
      <c r="ET243" s="1">
        <f>$CU243*Table1[[#This Row],[Male% (&gt;=65)]]</f>
        <v>0</v>
      </c>
    </row>
    <row r="244" spans="1:150" hidden="1" x14ac:dyDescent="0.35">
      <c r="A244" t="s">
        <v>28</v>
      </c>
      <c r="B244" t="s">
        <v>29</v>
      </c>
      <c r="C244" t="s">
        <v>28</v>
      </c>
      <c r="D244" t="s">
        <v>39</v>
      </c>
      <c r="E244" t="s">
        <v>405</v>
      </c>
      <c r="F244" t="s">
        <v>406</v>
      </c>
      <c r="H244">
        <v>4</v>
      </c>
      <c r="I244" s="1">
        <v>0</v>
      </c>
      <c r="J244" s="1">
        <v>0</v>
      </c>
      <c r="K244" s="1">
        <v>28777</v>
      </c>
      <c r="L244" s="1">
        <v>12660</v>
      </c>
      <c r="M244" s="1">
        <v>0</v>
      </c>
      <c r="N244" s="1">
        <v>41437</v>
      </c>
      <c r="O244" s="3">
        <v>1</v>
      </c>
      <c r="P244" s="3">
        <v>0</v>
      </c>
      <c r="Q244" s="3">
        <v>0</v>
      </c>
      <c r="R244" s="3">
        <v>0</v>
      </c>
      <c r="S244" s="3">
        <v>0</v>
      </c>
      <c r="T244" s="1">
        <v>41437</v>
      </c>
      <c r="U244" s="1">
        <v>0</v>
      </c>
      <c r="V244" s="10">
        <f>Table1[[#This Row],[Pop NW+RATAA]]*Table1[[#This Row],[Perc_pop_Northern_Aleppo]]</f>
        <v>0</v>
      </c>
      <c r="W244" s="10">
        <f>Table1[[#This Row],[Pop NW+RATAA]]*Table1[[#This Row],[Perc_pop_Afrin District]]</f>
        <v>0</v>
      </c>
      <c r="X244" s="10">
        <f>Table1[[#This Row],[Pop NW+RATAA]]*Table1[[#This Row],[Perc_pop_Euphrates Shiled]]</f>
        <v>0</v>
      </c>
      <c r="Y244" s="10">
        <f>Table1[[#This Row],[Pop NW+RATAA]]*Table1[[#This Row],[Perc_Pop_Idleb_NSAG]]</f>
        <v>0</v>
      </c>
      <c r="Z244" s="3">
        <v>0</v>
      </c>
      <c r="AA244" s="3">
        <v>0</v>
      </c>
      <c r="AB244" s="3">
        <v>0</v>
      </c>
      <c r="AC244" s="3">
        <v>0</v>
      </c>
      <c r="AD244" s="1">
        <v>41437</v>
      </c>
      <c r="AE244" s="1">
        <v>0</v>
      </c>
      <c r="AF244" s="1">
        <v>0</v>
      </c>
      <c r="AG244" s="1">
        <v>0</v>
      </c>
      <c r="AH244" s="1">
        <v>0</v>
      </c>
      <c r="AI244" s="1">
        <f>Table1[[#This Row],[NWS_pin]]*Table1[[#This Row],[Perc_pop_Northern_Aleppo]]</f>
        <v>0</v>
      </c>
      <c r="AJ244" s="1">
        <f>Table1[[#This Row],[NWS_pin]]*Table1[[#This Row],[Perc_pop_Afrin District]]</f>
        <v>0</v>
      </c>
      <c r="AK244" s="1">
        <f>Table1[[#This Row],[NWS_pin]]*Table1[[#This Row],[Perc_pop_Euphrates Shiled]]</f>
        <v>0</v>
      </c>
      <c r="AL244" s="1">
        <f>Table1[[#This Row],[NWS_pin]]*Table1[[#This Row],[Perc_Pop_Idleb_NSAG]]</f>
        <v>0</v>
      </c>
      <c r="AM244" s="4">
        <v>0.47555508153356801</v>
      </c>
      <c r="AN244" s="4">
        <v>0.52444491846643204</v>
      </c>
      <c r="AO244" s="4">
        <v>0.114664781575281</v>
      </c>
      <c r="AP244" s="4">
        <v>0.457849111537452</v>
      </c>
      <c r="AQ244" s="4">
        <v>0.53588583435027204</v>
      </c>
      <c r="AR244" s="4">
        <v>0</v>
      </c>
      <c r="AS244" s="4">
        <v>0</v>
      </c>
      <c r="AT244" s="4">
        <v>6.2650541122760799E-3</v>
      </c>
      <c r="AU244" s="4">
        <v>7.6319702001998502E-2</v>
      </c>
      <c r="AV244" s="4">
        <v>8.7002111751325995E-2</v>
      </c>
      <c r="AW244" s="4">
        <v>6.6633128521276397E-2</v>
      </c>
      <c r="AX244" s="4">
        <v>9.0617896144499499E-2</v>
      </c>
      <c r="AY244" s="4">
        <v>9.2286083556969795E-2</v>
      </c>
      <c r="AZ244" s="4">
        <v>8.9105220603147406E-2</v>
      </c>
      <c r="BA244" s="4">
        <v>9.3173120971685106E-2</v>
      </c>
      <c r="BB244" s="4">
        <v>0.107532554200054</v>
      </c>
      <c r="BC244" s="4">
        <v>8.01523037242583E-2</v>
      </c>
      <c r="BD244" s="4">
        <v>0.111083056246171</v>
      </c>
      <c r="BE244" s="4">
        <v>9.3272770139514904E-2</v>
      </c>
      <c r="BF244" s="4">
        <v>0.127233030749411</v>
      </c>
      <c r="BG244" s="4">
        <v>9.7008801700507005E-2</v>
      </c>
      <c r="BH244" s="4">
        <v>7.7466228136641904E-2</v>
      </c>
      <c r="BI244" s="4">
        <v>0.114729576251466</v>
      </c>
      <c r="BJ244" s="4">
        <v>4.5007098039274898E-2</v>
      </c>
      <c r="BK244" s="4">
        <v>2.57471426128336E-2</v>
      </c>
      <c r="BL244" s="4">
        <v>6.2471600698462103E-2</v>
      </c>
      <c r="BM244" s="4">
        <v>3.6732553513507502E-2</v>
      </c>
      <c r="BN244" s="4">
        <v>2.57471426128336E-2</v>
      </c>
      <c r="BO244" s="4">
        <v>4.6693881753327497E-2</v>
      </c>
      <c r="BP244" s="4">
        <v>3.9021433559524199E-2</v>
      </c>
      <c r="BQ244" s="4">
        <v>4.6075770136946401E-2</v>
      </c>
      <c r="BR244" s="4">
        <v>3.2624716786958302E-2</v>
      </c>
      <c r="BS244" s="4">
        <v>8.5368317261954194E-2</v>
      </c>
      <c r="BT244" s="4">
        <v>0.128691426796155</v>
      </c>
      <c r="BU244" s="4">
        <v>4.6083877349617997E-2</v>
      </c>
      <c r="BV244" s="4">
        <v>9.4069163423774194E-2</v>
      </c>
      <c r="BW244" s="4">
        <v>9.3272770139514904E-2</v>
      </c>
      <c r="BX244" s="4">
        <v>9.4791315283565603E-2</v>
      </c>
      <c r="BY244" s="4">
        <v>9.0756275441761305E-2</v>
      </c>
      <c r="BZ244" s="4">
        <v>0.108855598990292</v>
      </c>
      <c r="CA244" s="4">
        <v>7.4344208163098197E-2</v>
      </c>
      <c r="CB244" s="4">
        <v>5.4600083603661601E-2</v>
      </c>
      <c r="CC244" s="4">
        <v>3.6876244729955002E-2</v>
      </c>
      <c r="CD244" s="4">
        <v>7.0671669663300199E-2</v>
      </c>
      <c r="CE244" s="4">
        <v>4.4612270776372899E-2</v>
      </c>
      <c r="CF244" s="4">
        <v>4.6277585061562002E-2</v>
      </c>
      <c r="CG244" s="4">
        <v>4.3102200523451102E-2</v>
      </c>
      <c r="CH244" s="4">
        <v>3.1834879711706503E-2</v>
      </c>
      <c r="CI244" s="4">
        <v>3.08965711354004E-2</v>
      </c>
      <c r="CJ244" s="4">
        <v>3.26857172273292E-2</v>
      </c>
      <c r="CK244" s="4">
        <v>9.7953476036020098E-3</v>
      </c>
      <c r="CL244" s="4">
        <v>0</v>
      </c>
      <c r="CM244" s="4">
        <v>1.8677552701331E-2</v>
      </c>
      <c r="CN244" s="4">
        <v>0</v>
      </c>
      <c r="CO244" s="4">
        <v>0</v>
      </c>
      <c r="CP244" s="4">
        <v>0</v>
      </c>
      <c r="CQ244" s="4">
        <v>0</v>
      </c>
      <c r="CR244" s="4">
        <v>0</v>
      </c>
      <c r="CS244" s="4">
        <v>0</v>
      </c>
      <c r="CT244" s="1">
        <f>Table1[[#This Row],[Female %]]*Table1[[#This Row],[NWS_pin]]</f>
        <v>0</v>
      </c>
      <c r="CU244" s="1">
        <f>Table1[[#This Row],[Male %]]*Table1[[#This Row],[NWS_pin]]</f>
        <v>0</v>
      </c>
      <c r="CV244" s="1">
        <f>Table1[[#This Row],[Female% (0-2)22]]+Table1[[#This Row],[Male%(0-2)3]]</f>
        <v>0</v>
      </c>
      <c r="CW244" s="1">
        <f>$CT244*Table1[[#This Row],[Female% (0-2)]]</f>
        <v>0</v>
      </c>
      <c r="CX244" s="1">
        <f>$CU244*Table1[[#This Row],[Male%(0-2)]]</f>
        <v>0</v>
      </c>
      <c r="CY244" s="1">
        <f>Table1[[#This Row],[Female%  (3-5)5]]+Table1[[#This Row],[Male% (3-5)6]]</f>
        <v>0</v>
      </c>
      <c r="CZ244" s="1">
        <f>$AF244*Table1[[#This Row],[Female%  (3-5)]]</f>
        <v>0</v>
      </c>
      <c r="DA244" s="1">
        <f>$CU244*Table1[[#This Row],[Male% (3-5)]]</f>
        <v>0</v>
      </c>
      <c r="DB244" s="1">
        <f>Table1[[#This Row],[Female% (6-8)8]]+Table1[[#This Row],[Male%(6-8)9]]</f>
        <v>0</v>
      </c>
      <c r="DC244" s="1">
        <f>$CT244*Table1[[#This Row],[Female% (6-8)]]</f>
        <v>0</v>
      </c>
      <c r="DD244" s="1">
        <f>$CU244*Table1[[#This Row],[Male%(6-8)]]</f>
        <v>0</v>
      </c>
      <c r="DE244" s="1">
        <f>Table1[[#This Row],[Female% (9 - 11)11]]+Table1[[#This Row],[Male% (9 - 11)12]]</f>
        <v>0</v>
      </c>
      <c r="DF244" s="1">
        <f>$CT244*Table1[[#This Row],[Female% (9 - 11)]]</f>
        <v>0</v>
      </c>
      <c r="DG244" s="1">
        <f>$CU244*Table1[[#This Row],[Male% (9 - 11)]]</f>
        <v>0</v>
      </c>
      <c r="DH244" s="1">
        <f>Table1[[#This Row],[Female% (12-14)14]]+Table1[[#This Row],[Male%(12-14)15]]</f>
        <v>0</v>
      </c>
      <c r="DI244" s="1">
        <f>$CT244*Table1[[#This Row],[Female% (12-14)]]</f>
        <v>0</v>
      </c>
      <c r="DJ244" s="1">
        <f>$CU244*Table1[[#This Row],[Male%(12-14)]]</f>
        <v>0</v>
      </c>
      <c r="DK244" s="1">
        <f>Table1[[#This Row],[Female% (15-17)17]]+Table1[[#This Row],[Male%(15-17)18]]</f>
        <v>0</v>
      </c>
      <c r="DL244" s="1">
        <f>$CT244*Table1[[#This Row],[Female% (15-17)]]</f>
        <v>0</v>
      </c>
      <c r="DM244" s="1">
        <f>$CU244*Table1[[#This Row],[Male%(15-17)]]</f>
        <v>0</v>
      </c>
      <c r="DN244" s="1">
        <f>$AF244*Table1[[#This Row],[Total% (18-19)]]</f>
        <v>0</v>
      </c>
      <c r="DO244" s="1">
        <f>$CT244*Table1[[#This Row],[Female% (18-19)]]</f>
        <v>0</v>
      </c>
      <c r="DP244" s="1">
        <f>$CU244*Table1[[#This Row],[Male%(18-19)]]</f>
        <v>0</v>
      </c>
      <c r="DQ244" s="1">
        <f>$AF244*Table1[[#This Row],[Total% (20-24)]]</f>
        <v>0</v>
      </c>
      <c r="DR244" s="1">
        <f>$CT244*Table1[[#This Row],[Female% (20-24)]]</f>
        <v>0</v>
      </c>
      <c r="DS244" s="1">
        <f>$CU244*Table1[[#This Row],[Male% (20-24)]]</f>
        <v>0</v>
      </c>
      <c r="DT244" s="1">
        <f>$AF244*Table1[[#This Row],[Total% (25-29)]]</f>
        <v>0</v>
      </c>
      <c r="DU244" s="1">
        <f>$CT244*Table1[[#This Row],[Female% (25-29)]]</f>
        <v>0</v>
      </c>
      <c r="DV244" s="1">
        <f>$CU244*Table1[[#This Row],[Male% (25-29)]]</f>
        <v>0</v>
      </c>
      <c r="DW244" s="1">
        <f>$AF244*Table1[[#This Row],[Total%   (30-34)]]</f>
        <v>0</v>
      </c>
      <c r="DX244" s="1">
        <f>$CT244*Table1[[#This Row],[Female%   (30-34)]]</f>
        <v>0</v>
      </c>
      <c r="DY244" s="1">
        <f>$CU244*Table1[[#This Row],[Male%  (30-34)]]</f>
        <v>0</v>
      </c>
      <c r="DZ244" s="1">
        <f>$AF244*Table1[[#This Row],[Total% (35-39)]]</f>
        <v>0</v>
      </c>
      <c r="EA244" s="1">
        <f>$CT244*Table1[[#This Row],[Female% (35-39)]]</f>
        <v>0</v>
      </c>
      <c r="EB244" s="1">
        <f>$CU244*Table1[[#This Row],[Male% (35-39)]]</f>
        <v>0</v>
      </c>
      <c r="EC244" s="1">
        <f>$AF244*Table1[[#This Row],[Total% (40-44)]]</f>
        <v>0</v>
      </c>
      <c r="ED244" s="1">
        <f>$CT244*Table1[[#This Row],[Female% (40-44)]]</f>
        <v>0</v>
      </c>
      <c r="EE244" s="1">
        <f>$CU244*Table1[[#This Row],[Male%(55-59)]]</f>
        <v>0</v>
      </c>
      <c r="EF244" s="1">
        <f>$AF244*Table1[[#This Row],[Total% (45-49)]]</f>
        <v>0</v>
      </c>
      <c r="EG244" s="1">
        <f>$CT244*Table1[[#This Row],[Female% (45-49)]]</f>
        <v>0</v>
      </c>
      <c r="EH244" s="1">
        <f>$CU244*Table1[[#This Row],[Male% (45-49)]]</f>
        <v>0</v>
      </c>
      <c r="EI244" s="1">
        <f>$AF244*Table1[[#This Row],[Total% (50-54)]]</f>
        <v>0</v>
      </c>
      <c r="EJ244" s="1">
        <f>$CT244*Table1[[#This Row],[Female%(50-54)]]</f>
        <v>0</v>
      </c>
      <c r="EK244" s="1">
        <f>$CU244*Table1[[#This Row],[Male% (50-54)]]</f>
        <v>0</v>
      </c>
      <c r="EL244" s="1">
        <f>$AF244*Table1[[#This Row],[Total% (55-59)]]</f>
        <v>0</v>
      </c>
      <c r="EM244" s="1">
        <f>$CT244*Table1[[#This Row],[Female% (55-59)]]</f>
        <v>0</v>
      </c>
      <c r="EN244" s="1">
        <f>$CU244*Table1[[#This Row],[Male% (55-59)]]</f>
        <v>0</v>
      </c>
      <c r="EO244" s="1">
        <f>$AF244*Table1[[#This Row],[Total% (60-64)]]</f>
        <v>0</v>
      </c>
      <c r="EP244" s="1">
        <f>$CT244*Table1[[#This Row],[Female%(60-64)]]</f>
        <v>0</v>
      </c>
      <c r="EQ244" s="1">
        <f>$CU244*Table1[[#This Row],[Male%(60-64)]]</f>
        <v>0</v>
      </c>
      <c r="ER244" s="1">
        <f>$AF244*Table1[[#This Row],[Total% (&gt;=65)]]</f>
        <v>0</v>
      </c>
      <c r="ES244" s="1">
        <f>$CT244*Table1[[#This Row],[Female%(&gt;=65)]]</f>
        <v>0</v>
      </c>
      <c r="ET244" s="1">
        <f>$CU244*Table1[[#This Row],[Male% (&gt;=65)]]</f>
        <v>0</v>
      </c>
    </row>
    <row r="245" spans="1:150" hidden="1" x14ac:dyDescent="0.35">
      <c r="A245" t="s">
        <v>28</v>
      </c>
      <c r="B245" t="s">
        <v>29</v>
      </c>
      <c r="C245" t="s">
        <v>28</v>
      </c>
      <c r="D245" t="s">
        <v>39</v>
      </c>
      <c r="E245" t="s">
        <v>243</v>
      </c>
      <c r="F245" t="s">
        <v>244</v>
      </c>
      <c r="H245">
        <v>4</v>
      </c>
      <c r="I245" s="1">
        <v>0</v>
      </c>
      <c r="J245" s="1">
        <v>9542</v>
      </c>
      <c r="K245" s="1">
        <v>50488</v>
      </c>
      <c r="L245" s="1">
        <v>50824</v>
      </c>
      <c r="M245" s="1">
        <v>0</v>
      </c>
      <c r="N245" s="1">
        <v>101312</v>
      </c>
      <c r="O245" s="3">
        <v>1</v>
      </c>
      <c r="P245" s="3">
        <v>0</v>
      </c>
      <c r="Q245" s="3">
        <v>0</v>
      </c>
      <c r="R245" s="3">
        <v>0</v>
      </c>
      <c r="S245" s="3">
        <v>0</v>
      </c>
      <c r="T245" s="1">
        <v>110854</v>
      </c>
      <c r="U245" s="1">
        <v>0</v>
      </c>
      <c r="V245" s="10">
        <f>Table1[[#This Row],[Pop NW+RATAA]]*Table1[[#This Row],[Perc_pop_Northern_Aleppo]]</f>
        <v>0</v>
      </c>
      <c r="W245" s="10">
        <f>Table1[[#This Row],[Pop NW+RATAA]]*Table1[[#This Row],[Perc_pop_Afrin District]]</f>
        <v>0</v>
      </c>
      <c r="X245" s="10">
        <f>Table1[[#This Row],[Pop NW+RATAA]]*Table1[[#This Row],[Perc_pop_Euphrates Shiled]]</f>
        <v>0</v>
      </c>
      <c r="Y245" s="10">
        <f>Table1[[#This Row],[Pop NW+RATAA]]*Table1[[#This Row],[Perc_Pop_Idleb_NSAG]]</f>
        <v>0</v>
      </c>
      <c r="Z245" s="3">
        <v>0</v>
      </c>
      <c r="AA245" s="3">
        <v>0</v>
      </c>
      <c r="AB245" s="3">
        <v>0</v>
      </c>
      <c r="AC245" s="3">
        <v>0</v>
      </c>
      <c r="AD245" s="1">
        <v>101312</v>
      </c>
      <c r="AE245" s="1">
        <v>0</v>
      </c>
      <c r="AF245" s="1">
        <v>0</v>
      </c>
      <c r="AG245" s="1">
        <v>0</v>
      </c>
      <c r="AH245" s="1">
        <v>0</v>
      </c>
      <c r="AI245" s="1">
        <f>Table1[[#This Row],[NWS_pin]]*Table1[[#This Row],[Perc_pop_Northern_Aleppo]]</f>
        <v>0</v>
      </c>
      <c r="AJ245" s="1">
        <f>Table1[[#This Row],[NWS_pin]]*Table1[[#This Row],[Perc_pop_Afrin District]]</f>
        <v>0</v>
      </c>
      <c r="AK245" s="1">
        <f>Table1[[#This Row],[NWS_pin]]*Table1[[#This Row],[Perc_pop_Euphrates Shiled]]</f>
        <v>0</v>
      </c>
      <c r="AL245" s="1">
        <f>Table1[[#This Row],[NWS_pin]]*Table1[[#This Row],[Perc_Pop_Idleb_NSAG]]</f>
        <v>0</v>
      </c>
      <c r="AM245" s="4">
        <v>0.44773849524522902</v>
      </c>
      <c r="AN245" s="4">
        <v>0.55226150475477098</v>
      </c>
      <c r="AO245" s="4">
        <v>0.106536504755833</v>
      </c>
      <c r="AP245" s="4">
        <v>0.43445732771696399</v>
      </c>
      <c r="AQ245" s="4">
        <v>0.560818441916211</v>
      </c>
      <c r="AR245" s="4">
        <v>0</v>
      </c>
      <c r="AS245" s="4">
        <v>0</v>
      </c>
      <c r="AT245" s="4">
        <v>4.7242303668256699E-3</v>
      </c>
      <c r="AU245" s="4">
        <v>0.104272135118788</v>
      </c>
      <c r="AV245" s="4">
        <v>0.135151814300489</v>
      </c>
      <c r="AW245" s="4">
        <v>7.9236855687878305E-2</v>
      </c>
      <c r="AX245" s="4">
        <v>0.119654915365988</v>
      </c>
      <c r="AY245" s="4">
        <v>8.69882571185015E-2</v>
      </c>
      <c r="AZ245" s="4">
        <v>0.146138963742516</v>
      </c>
      <c r="BA245" s="4">
        <v>0.111764480923251</v>
      </c>
      <c r="BB245" s="4">
        <v>0.103611356987697</v>
      </c>
      <c r="BC245" s="4">
        <v>0.118374515138968</v>
      </c>
      <c r="BD245" s="4">
        <v>7.6027014888662897E-2</v>
      </c>
      <c r="BE245" s="4">
        <v>8.6411051755236404E-2</v>
      </c>
      <c r="BF245" s="4">
        <v>6.7608298390805399E-2</v>
      </c>
      <c r="BG245" s="4">
        <v>8.6408326430964605E-2</v>
      </c>
      <c r="BH245" s="4">
        <v>6.7256747440868098E-2</v>
      </c>
      <c r="BI245" s="4">
        <v>0.10193520832436</v>
      </c>
      <c r="BJ245" s="4">
        <v>6.2410650920729303E-2</v>
      </c>
      <c r="BK245" s="4">
        <v>2.36529053322551E-2</v>
      </c>
      <c r="BL245" s="4">
        <v>9.3832965421151604E-2</v>
      </c>
      <c r="BM245" s="4">
        <v>2.1395713100486699E-2</v>
      </c>
      <c r="BN245" s="4">
        <v>1.88228603727328E-2</v>
      </c>
      <c r="BO245" s="4">
        <v>2.34816184168887E-2</v>
      </c>
      <c r="BP245" s="4">
        <v>2.2947959720531801E-2</v>
      </c>
      <c r="BQ245" s="4">
        <v>3.9018733223865502E-2</v>
      </c>
      <c r="BR245" s="4">
        <v>9.9187989264898392E-3</v>
      </c>
      <c r="BS245" s="4">
        <v>7.9184687449456906E-2</v>
      </c>
      <c r="BT245" s="4">
        <v>0.13634599522895799</v>
      </c>
      <c r="BU245" s="4">
        <v>3.2841935490296299E-2</v>
      </c>
      <c r="BV245" s="4">
        <v>9.2017378328240904E-2</v>
      </c>
      <c r="BW245" s="4">
        <v>0.109083061141618</v>
      </c>
      <c r="BX245" s="4">
        <v>7.8181608358021903E-2</v>
      </c>
      <c r="BY245" s="4">
        <v>8.08940571335659E-2</v>
      </c>
      <c r="BZ245" s="4">
        <v>7.7574101368102596E-2</v>
      </c>
      <c r="CA245" s="4">
        <v>8.3585666065043501E-2</v>
      </c>
      <c r="CB245" s="4">
        <v>6.0251508623764202E-2</v>
      </c>
      <c r="CC245" s="4">
        <v>4.8712969469767199E-2</v>
      </c>
      <c r="CD245" s="4">
        <v>6.9606222131150197E-2</v>
      </c>
      <c r="CE245" s="4">
        <v>4.0102183703786702E-2</v>
      </c>
      <c r="CF245" s="4">
        <v>3.80951125108994E-2</v>
      </c>
      <c r="CG245" s="4">
        <v>4.1729389344622503E-2</v>
      </c>
      <c r="CH245" s="4">
        <v>2.8556796769227399E-2</v>
      </c>
      <c r="CI245" s="4">
        <v>2.7031241950468899E-2</v>
      </c>
      <c r="CJ245" s="4">
        <v>2.9793619566188999E-2</v>
      </c>
      <c r="CK245" s="4">
        <v>9.0246630701587196E-3</v>
      </c>
      <c r="CL245" s="4">
        <v>2.24379179853982E-3</v>
      </c>
      <c r="CM245" s="4">
        <v>1.4522162123536299E-2</v>
      </c>
      <c r="CN245" s="4">
        <v>5.08752845239755E-3</v>
      </c>
      <c r="CO245" s="4">
        <v>0</v>
      </c>
      <c r="CP245" s="4">
        <v>9.2121728720828393E-3</v>
      </c>
      <c r="CQ245" s="4">
        <v>0</v>
      </c>
      <c r="CR245" s="4">
        <v>0</v>
      </c>
      <c r="CS245" s="4">
        <v>0</v>
      </c>
      <c r="CT245" s="1">
        <f>Table1[[#This Row],[Female %]]*Table1[[#This Row],[NWS_pin]]</f>
        <v>0</v>
      </c>
      <c r="CU245" s="1">
        <f>Table1[[#This Row],[Male %]]*Table1[[#This Row],[NWS_pin]]</f>
        <v>0</v>
      </c>
      <c r="CV245" s="1">
        <f>Table1[[#This Row],[Female% (0-2)22]]+Table1[[#This Row],[Male%(0-2)3]]</f>
        <v>0</v>
      </c>
      <c r="CW245" s="1">
        <f>$CT245*Table1[[#This Row],[Female% (0-2)]]</f>
        <v>0</v>
      </c>
      <c r="CX245" s="1">
        <f>$CU245*Table1[[#This Row],[Male%(0-2)]]</f>
        <v>0</v>
      </c>
      <c r="CY245" s="1">
        <f>Table1[[#This Row],[Female%  (3-5)5]]+Table1[[#This Row],[Male% (3-5)6]]</f>
        <v>0</v>
      </c>
      <c r="CZ245" s="1">
        <f>$AF245*Table1[[#This Row],[Female%  (3-5)]]</f>
        <v>0</v>
      </c>
      <c r="DA245" s="1">
        <f>$CU245*Table1[[#This Row],[Male% (3-5)]]</f>
        <v>0</v>
      </c>
      <c r="DB245" s="1">
        <f>Table1[[#This Row],[Female% (6-8)8]]+Table1[[#This Row],[Male%(6-8)9]]</f>
        <v>0</v>
      </c>
      <c r="DC245" s="1">
        <f>$CT245*Table1[[#This Row],[Female% (6-8)]]</f>
        <v>0</v>
      </c>
      <c r="DD245" s="1">
        <f>$CU245*Table1[[#This Row],[Male%(6-8)]]</f>
        <v>0</v>
      </c>
      <c r="DE245" s="1">
        <f>Table1[[#This Row],[Female% (9 - 11)11]]+Table1[[#This Row],[Male% (9 - 11)12]]</f>
        <v>0</v>
      </c>
      <c r="DF245" s="1">
        <f>$CT245*Table1[[#This Row],[Female% (9 - 11)]]</f>
        <v>0</v>
      </c>
      <c r="DG245" s="1">
        <f>$CU245*Table1[[#This Row],[Male% (9 - 11)]]</f>
        <v>0</v>
      </c>
      <c r="DH245" s="1">
        <f>Table1[[#This Row],[Female% (12-14)14]]+Table1[[#This Row],[Male%(12-14)15]]</f>
        <v>0</v>
      </c>
      <c r="DI245" s="1">
        <f>$CT245*Table1[[#This Row],[Female% (12-14)]]</f>
        <v>0</v>
      </c>
      <c r="DJ245" s="1">
        <f>$CU245*Table1[[#This Row],[Male%(12-14)]]</f>
        <v>0</v>
      </c>
      <c r="DK245" s="1">
        <f>Table1[[#This Row],[Female% (15-17)17]]+Table1[[#This Row],[Male%(15-17)18]]</f>
        <v>0</v>
      </c>
      <c r="DL245" s="1">
        <f>$CT245*Table1[[#This Row],[Female% (15-17)]]</f>
        <v>0</v>
      </c>
      <c r="DM245" s="1">
        <f>$CU245*Table1[[#This Row],[Male%(15-17)]]</f>
        <v>0</v>
      </c>
      <c r="DN245" s="1">
        <f>$AF245*Table1[[#This Row],[Total% (18-19)]]</f>
        <v>0</v>
      </c>
      <c r="DO245" s="1">
        <f>$CT245*Table1[[#This Row],[Female% (18-19)]]</f>
        <v>0</v>
      </c>
      <c r="DP245" s="1">
        <f>$CU245*Table1[[#This Row],[Male%(18-19)]]</f>
        <v>0</v>
      </c>
      <c r="DQ245" s="1">
        <f>$AF245*Table1[[#This Row],[Total% (20-24)]]</f>
        <v>0</v>
      </c>
      <c r="DR245" s="1">
        <f>$CT245*Table1[[#This Row],[Female% (20-24)]]</f>
        <v>0</v>
      </c>
      <c r="DS245" s="1">
        <f>$CU245*Table1[[#This Row],[Male% (20-24)]]</f>
        <v>0</v>
      </c>
      <c r="DT245" s="1">
        <f>$AF245*Table1[[#This Row],[Total% (25-29)]]</f>
        <v>0</v>
      </c>
      <c r="DU245" s="1">
        <f>$CT245*Table1[[#This Row],[Female% (25-29)]]</f>
        <v>0</v>
      </c>
      <c r="DV245" s="1">
        <f>$CU245*Table1[[#This Row],[Male% (25-29)]]</f>
        <v>0</v>
      </c>
      <c r="DW245" s="1">
        <f>$AF245*Table1[[#This Row],[Total%   (30-34)]]</f>
        <v>0</v>
      </c>
      <c r="DX245" s="1">
        <f>$CT245*Table1[[#This Row],[Female%   (30-34)]]</f>
        <v>0</v>
      </c>
      <c r="DY245" s="1">
        <f>$CU245*Table1[[#This Row],[Male%  (30-34)]]</f>
        <v>0</v>
      </c>
      <c r="DZ245" s="1">
        <f>$AF245*Table1[[#This Row],[Total% (35-39)]]</f>
        <v>0</v>
      </c>
      <c r="EA245" s="1">
        <f>$CT245*Table1[[#This Row],[Female% (35-39)]]</f>
        <v>0</v>
      </c>
      <c r="EB245" s="1">
        <f>$CU245*Table1[[#This Row],[Male% (35-39)]]</f>
        <v>0</v>
      </c>
      <c r="EC245" s="1">
        <f>$AF245*Table1[[#This Row],[Total% (40-44)]]</f>
        <v>0</v>
      </c>
      <c r="ED245" s="1">
        <f>$CT245*Table1[[#This Row],[Female% (40-44)]]</f>
        <v>0</v>
      </c>
      <c r="EE245" s="1">
        <f>$CU245*Table1[[#This Row],[Male%(55-59)]]</f>
        <v>0</v>
      </c>
      <c r="EF245" s="1">
        <f>$AF245*Table1[[#This Row],[Total% (45-49)]]</f>
        <v>0</v>
      </c>
      <c r="EG245" s="1">
        <f>$CT245*Table1[[#This Row],[Female% (45-49)]]</f>
        <v>0</v>
      </c>
      <c r="EH245" s="1">
        <f>$CU245*Table1[[#This Row],[Male% (45-49)]]</f>
        <v>0</v>
      </c>
      <c r="EI245" s="1">
        <f>$AF245*Table1[[#This Row],[Total% (50-54)]]</f>
        <v>0</v>
      </c>
      <c r="EJ245" s="1">
        <f>$CT245*Table1[[#This Row],[Female%(50-54)]]</f>
        <v>0</v>
      </c>
      <c r="EK245" s="1">
        <f>$CU245*Table1[[#This Row],[Male% (50-54)]]</f>
        <v>0</v>
      </c>
      <c r="EL245" s="1">
        <f>$AF245*Table1[[#This Row],[Total% (55-59)]]</f>
        <v>0</v>
      </c>
      <c r="EM245" s="1">
        <f>$CT245*Table1[[#This Row],[Female% (55-59)]]</f>
        <v>0</v>
      </c>
      <c r="EN245" s="1">
        <f>$CU245*Table1[[#This Row],[Male% (55-59)]]</f>
        <v>0</v>
      </c>
      <c r="EO245" s="1">
        <f>$AF245*Table1[[#This Row],[Total% (60-64)]]</f>
        <v>0</v>
      </c>
      <c r="EP245" s="1">
        <f>$CT245*Table1[[#This Row],[Female%(60-64)]]</f>
        <v>0</v>
      </c>
      <c r="EQ245" s="1">
        <f>$CU245*Table1[[#This Row],[Male%(60-64)]]</f>
        <v>0</v>
      </c>
      <c r="ER245" s="1">
        <f>$AF245*Table1[[#This Row],[Total% (&gt;=65)]]</f>
        <v>0</v>
      </c>
      <c r="ES245" s="1">
        <f>$CT245*Table1[[#This Row],[Female%(&gt;=65)]]</f>
        <v>0</v>
      </c>
      <c r="ET245" s="1">
        <f>$CU245*Table1[[#This Row],[Male% (&gt;=65)]]</f>
        <v>0</v>
      </c>
    </row>
    <row r="246" spans="1:150" hidden="1" x14ac:dyDescent="0.35">
      <c r="A246" t="s">
        <v>28</v>
      </c>
      <c r="B246" t="s">
        <v>29</v>
      </c>
      <c r="C246" t="s">
        <v>28</v>
      </c>
      <c r="D246" t="s">
        <v>39</v>
      </c>
      <c r="E246" t="s">
        <v>40</v>
      </c>
      <c r="F246" t="s">
        <v>41</v>
      </c>
      <c r="H246">
        <v>2</v>
      </c>
      <c r="I246" s="1">
        <v>0</v>
      </c>
      <c r="J246" s="1">
        <v>28668</v>
      </c>
      <c r="K246" s="1">
        <v>1086</v>
      </c>
      <c r="L246" s="1">
        <v>0</v>
      </c>
      <c r="M246" s="1">
        <v>0</v>
      </c>
      <c r="N246" s="1">
        <v>1086</v>
      </c>
      <c r="O246" s="3">
        <v>1</v>
      </c>
      <c r="P246" s="3">
        <v>0</v>
      </c>
      <c r="Q246" s="3">
        <v>0</v>
      </c>
      <c r="R246" s="3">
        <v>0</v>
      </c>
      <c r="S246" s="3">
        <v>0</v>
      </c>
      <c r="T246" s="1">
        <v>29754</v>
      </c>
      <c r="U246" s="1">
        <v>0</v>
      </c>
      <c r="V246" s="10">
        <f>Table1[[#This Row],[Pop NW+RATAA]]*Table1[[#This Row],[Perc_pop_Northern_Aleppo]]</f>
        <v>0</v>
      </c>
      <c r="W246" s="10">
        <f>Table1[[#This Row],[Pop NW+RATAA]]*Table1[[#This Row],[Perc_pop_Afrin District]]</f>
        <v>0</v>
      </c>
      <c r="X246" s="10">
        <f>Table1[[#This Row],[Pop NW+RATAA]]*Table1[[#This Row],[Perc_pop_Euphrates Shiled]]</f>
        <v>0</v>
      </c>
      <c r="Y246" s="10">
        <f>Table1[[#This Row],[Pop NW+RATAA]]*Table1[[#This Row],[Perc_Pop_Idleb_NSAG]]</f>
        <v>0</v>
      </c>
      <c r="Z246" s="3">
        <v>0</v>
      </c>
      <c r="AA246" s="3">
        <v>0</v>
      </c>
      <c r="AB246" s="3">
        <v>0</v>
      </c>
      <c r="AC246" s="3">
        <v>0</v>
      </c>
      <c r="AD246" s="1">
        <v>1086</v>
      </c>
      <c r="AE246" s="1">
        <v>0</v>
      </c>
      <c r="AF246" s="1">
        <v>0</v>
      </c>
      <c r="AG246" s="1">
        <v>0</v>
      </c>
      <c r="AH246" s="1">
        <v>0</v>
      </c>
      <c r="AI246" s="1">
        <f>Table1[[#This Row],[NWS_pin]]*Table1[[#This Row],[Perc_pop_Northern_Aleppo]]</f>
        <v>0</v>
      </c>
      <c r="AJ246" s="1">
        <f>Table1[[#This Row],[NWS_pin]]*Table1[[#This Row],[Perc_pop_Afrin District]]</f>
        <v>0</v>
      </c>
      <c r="AK246" s="1">
        <f>Table1[[#This Row],[NWS_pin]]*Table1[[#This Row],[Perc_pop_Euphrates Shiled]]</f>
        <v>0</v>
      </c>
      <c r="AL246" s="1">
        <f>Table1[[#This Row],[NWS_pin]]*Table1[[#This Row],[Perc_Pop_Idleb_NSAG]]</f>
        <v>0</v>
      </c>
      <c r="AM246" s="4">
        <v>0.50999747838327703</v>
      </c>
      <c r="AN246" s="4">
        <v>0.49000252161672297</v>
      </c>
      <c r="AO246" s="4">
        <v>4.7473118279569897E-2</v>
      </c>
      <c r="AP246" s="4">
        <v>0.48812136615326202</v>
      </c>
      <c r="AQ246" s="4">
        <v>0.50903558012126604</v>
      </c>
      <c r="AR246" s="4">
        <v>0</v>
      </c>
      <c r="AS246" s="4">
        <v>0</v>
      </c>
      <c r="AT246" s="4">
        <v>2.84305372547202E-3</v>
      </c>
      <c r="AU246" s="4">
        <v>7.0858215586899503E-2</v>
      </c>
      <c r="AV246" s="4">
        <v>6.7070740748338395E-2</v>
      </c>
      <c r="AW246" s="4">
        <v>7.4800241457976799E-2</v>
      </c>
      <c r="AX246" s="4">
        <v>8.43355085068795E-2</v>
      </c>
      <c r="AY246" s="4">
        <v>6.8377780103925798E-2</v>
      </c>
      <c r="AZ246" s="4">
        <v>0.10094440517006301</v>
      </c>
      <c r="BA246" s="4">
        <v>9.5412675519699897E-2</v>
      </c>
      <c r="BB246" s="4">
        <v>0.10344243517324</v>
      </c>
      <c r="BC246" s="4">
        <v>8.7055254905174198E-2</v>
      </c>
      <c r="BD246" s="4">
        <v>9.2833166645287901E-2</v>
      </c>
      <c r="BE246" s="4">
        <v>7.7800260872730898E-2</v>
      </c>
      <c r="BF246" s="4">
        <v>0.10847950252838</v>
      </c>
      <c r="BG246" s="4">
        <v>0.10315120214293599</v>
      </c>
      <c r="BH246" s="4">
        <v>0.105010476990715</v>
      </c>
      <c r="BI246" s="4">
        <v>0.101216058052533</v>
      </c>
      <c r="BJ246" s="4">
        <v>7.7863600135930799E-2</v>
      </c>
      <c r="BK246" s="4">
        <v>9.3366434726641107E-2</v>
      </c>
      <c r="BL246" s="4">
        <v>6.1728159601933598E-2</v>
      </c>
      <c r="BM246" s="4">
        <v>3.4672829534326301E-2</v>
      </c>
      <c r="BN246" s="4">
        <v>4.6617966747848502E-2</v>
      </c>
      <c r="BO246" s="4">
        <v>2.2240261151333901E-2</v>
      </c>
      <c r="BP246" s="4">
        <v>5.0196155150635802E-2</v>
      </c>
      <c r="BQ246" s="4">
        <v>5.5034181268358399E-2</v>
      </c>
      <c r="BR246" s="4">
        <v>4.5160709389560801E-2</v>
      </c>
      <c r="BS246" s="4">
        <v>6.4653045304991996E-2</v>
      </c>
      <c r="BT246" s="4">
        <v>9.2712915048847405E-2</v>
      </c>
      <c r="BU246" s="4">
        <v>3.5448169448612198E-2</v>
      </c>
      <c r="BV246" s="4">
        <v>8.1822554931174907E-2</v>
      </c>
      <c r="BW246" s="4">
        <v>8.8439050411583606E-2</v>
      </c>
      <c r="BX246" s="4">
        <v>7.4936067899211797E-2</v>
      </c>
      <c r="BY246" s="4">
        <v>8.0955785365343702E-2</v>
      </c>
      <c r="BZ246" s="4">
        <v>7.0298568491902802E-2</v>
      </c>
      <c r="CA246" s="4">
        <v>9.2047878757242504E-2</v>
      </c>
      <c r="CB246" s="4">
        <v>6.1606615551204801E-2</v>
      </c>
      <c r="CC246" s="4">
        <v>4.7271486425642197E-2</v>
      </c>
      <c r="CD246" s="4">
        <v>7.6526701436097702E-2</v>
      </c>
      <c r="CE246" s="4">
        <v>3.6585751633241001E-2</v>
      </c>
      <c r="CF246" s="4">
        <v>4.5964447070054801E-2</v>
      </c>
      <c r="CG246" s="4">
        <v>2.68243507989793E-2</v>
      </c>
      <c r="CH246" s="4">
        <v>3.4472646743992398E-2</v>
      </c>
      <c r="CI246" s="4">
        <v>2.9784524183755101E-2</v>
      </c>
      <c r="CJ246" s="4">
        <v>3.9352072009364601E-2</v>
      </c>
      <c r="CK246" s="4">
        <v>2.3841600787465601E-2</v>
      </c>
      <c r="CL246" s="4">
        <v>8.8087317364155693E-3</v>
      </c>
      <c r="CM246" s="4">
        <v>3.94878984505996E-2</v>
      </c>
      <c r="CN246" s="4">
        <v>6.7386464599900296E-3</v>
      </c>
      <c r="CO246" s="4">
        <v>0</v>
      </c>
      <c r="CP246" s="4">
        <v>1.3752268942936101E-2</v>
      </c>
      <c r="CQ246" s="4">
        <v>0</v>
      </c>
      <c r="CR246" s="4">
        <v>0</v>
      </c>
      <c r="CS246" s="4">
        <v>0</v>
      </c>
      <c r="CT246" s="1">
        <f>Table1[[#This Row],[Female %]]*Table1[[#This Row],[NWS_pin]]</f>
        <v>0</v>
      </c>
      <c r="CU246" s="1">
        <f>Table1[[#This Row],[Male %]]*Table1[[#This Row],[NWS_pin]]</f>
        <v>0</v>
      </c>
      <c r="CV246" s="1">
        <f>Table1[[#This Row],[Female% (0-2)22]]+Table1[[#This Row],[Male%(0-2)3]]</f>
        <v>0</v>
      </c>
      <c r="CW246" s="1">
        <f>$CT246*Table1[[#This Row],[Female% (0-2)]]</f>
        <v>0</v>
      </c>
      <c r="CX246" s="1">
        <f>$CU246*Table1[[#This Row],[Male%(0-2)]]</f>
        <v>0</v>
      </c>
      <c r="CY246" s="1">
        <f>Table1[[#This Row],[Female%  (3-5)5]]+Table1[[#This Row],[Male% (3-5)6]]</f>
        <v>0</v>
      </c>
      <c r="CZ246" s="1">
        <f>$AF246*Table1[[#This Row],[Female%  (3-5)]]</f>
        <v>0</v>
      </c>
      <c r="DA246" s="1">
        <f>$CU246*Table1[[#This Row],[Male% (3-5)]]</f>
        <v>0</v>
      </c>
      <c r="DB246" s="1">
        <f>Table1[[#This Row],[Female% (6-8)8]]+Table1[[#This Row],[Male%(6-8)9]]</f>
        <v>0</v>
      </c>
      <c r="DC246" s="1">
        <f>$CT246*Table1[[#This Row],[Female% (6-8)]]</f>
        <v>0</v>
      </c>
      <c r="DD246" s="1">
        <f>$CU246*Table1[[#This Row],[Male%(6-8)]]</f>
        <v>0</v>
      </c>
      <c r="DE246" s="1">
        <f>Table1[[#This Row],[Female% (9 - 11)11]]+Table1[[#This Row],[Male% (9 - 11)12]]</f>
        <v>0</v>
      </c>
      <c r="DF246" s="1">
        <f>$CT246*Table1[[#This Row],[Female% (9 - 11)]]</f>
        <v>0</v>
      </c>
      <c r="DG246" s="1">
        <f>$CU246*Table1[[#This Row],[Male% (9 - 11)]]</f>
        <v>0</v>
      </c>
      <c r="DH246" s="1">
        <f>Table1[[#This Row],[Female% (12-14)14]]+Table1[[#This Row],[Male%(12-14)15]]</f>
        <v>0</v>
      </c>
      <c r="DI246" s="1">
        <f>$CT246*Table1[[#This Row],[Female% (12-14)]]</f>
        <v>0</v>
      </c>
      <c r="DJ246" s="1">
        <f>$CU246*Table1[[#This Row],[Male%(12-14)]]</f>
        <v>0</v>
      </c>
      <c r="DK246" s="1">
        <f>Table1[[#This Row],[Female% (15-17)17]]+Table1[[#This Row],[Male%(15-17)18]]</f>
        <v>0</v>
      </c>
      <c r="DL246" s="1">
        <f>$CT246*Table1[[#This Row],[Female% (15-17)]]</f>
        <v>0</v>
      </c>
      <c r="DM246" s="1">
        <f>$CU246*Table1[[#This Row],[Male%(15-17)]]</f>
        <v>0</v>
      </c>
      <c r="DN246" s="1">
        <f>$AF246*Table1[[#This Row],[Total% (18-19)]]</f>
        <v>0</v>
      </c>
      <c r="DO246" s="1">
        <f>$CT246*Table1[[#This Row],[Female% (18-19)]]</f>
        <v>0</v>
      </c>
      <c r="DP246" s="1">
        <f>$CU246*Table1[[#This Row],[Male%(18-19)]]</f>
        <v>0</v>
      </c>
      <c r="DQ246" s="1">
        <f>$AF246*Table1[[#This Row],[Total% (20-24)]]</f>
        <v>0</v>
      </c>
      <c r="DR246" s="1">
        <f>$CT246*Table1[[#This Row],[Female% (20-24)]]</f>
        <v>0</v>
      </c>
      <c r="DS246" s="1">
        <f>$CU246*Table1[[#This Row],[Male% (20-24)]]</f>
        <v>0</v>
      </c>
      <c r="DT246" s="1">
        <f>$AF246*Table1[[#This Row],[Total% (25-29)]]</f>
        <v>0</v>
      </c>
      <c r="DU246" s="1">
        <f>$CT246*Table1[[#This Row],[Female% (25-29)]]</f>
        <v>0</v>
      </c>
      <c r="DV246" s="1">
        <f>$CU246*Table1[[#This Row],[Male% (25-29)]]</f>
        <v>0</v>
      </c>
      <c r="DW246" s="1">
        <f>$AF246*Table1[[#This Row],[Total%   (30-34)]]</f>
        <v>0</v>
      </c>
      <c r="DX246" s="1">
        <f>$CT246*Table1[[#This Row],[Female%   (30-34)]]</f>
        <v>0</v>
      </c>
      <c r="DY246" s="1">
        <f>$CU246*Table1[[#This Row],[Male%  (30-34)]]</f>
        <v>0</v>
      </c>
      <c r="DZ246" s="1">
        <f>$AF246*Table1[[#This Row],[Total% (35-39)]]</f>
        <v>0</v>
      </c>
      <c r="EA246" s="1">
        <f>$CT246*Table1[[#This Row],[Female% (35-39)]]</f>
        <v>0</v>
      </c>
      <c r="EB246" s="1">
        <f>$CU246*Table1[[#This Row],[Male% (35-39)]]</f>
        <v>0</v>
      </c>
      <c r="EC246" s="1">
        <f>$AF246*Table1[[#This Row],[Total% (40-44)]]</f>
        <v>0</v>
      </c>
      <c r="ED246" s="1">
        <f>$CT246*Table1[[#This Row],[Female% (40-44)]]</f>
        <v>0</v>
      </c>
      <c r="EE246" s="1">
        <f>$CU246*Table1[[#This Row],[Male%(55-59)]]</f>
        <v>0</v>
      </c>
      <c r="EF246" s="1">
        <f>$AF246*Table1[[#This Row],[Total% (45-49)]]</f>
        <v>0</v>
      </c>
      <c r="EG246" s="1">
        <f>$CT246*Table1[[#This Row],[Female% (45-49)]]</f>
        <v>0</v>
      </c>
      <c r="EH246" s="1">
        <f>$CU246*Table1[[#This Row],[Male% (45-49)]]</f>
        <v>0</v>
      </c>
      <c r="EI246" s="1">
        <f>$AF246*Table1[[#This Row],[Total% (50-54)]]</f>
        <v>0</v>
      </c>
      <c r="EJ246" s="1">
        <f>$CT246*Table1[[#This Row],[Female%(50-54)]]</f>
        <v>0</v>
      </c>
      <c r="EK246" s="1">
        <f>$CU246*Table1[[#This Row],[Male% (50-54)]]</f>
        <v>0</v>
      </c>
      <c r="EL246" s="1">
        <f>$AF246*Table1[[#This Row],[Total% (55-59)]]</f>
        <v>0</v>
      </c>
      <c r="EM246" s="1">
        <f>$CT246*Table1[[#This Row],[Female% (55-59)]]</f>
        <v>0</v>
      </c>
      <c r="EN246" s="1">
        <f>$CU246*Table1[[#This Row],[Male% (55-59)]]</f>
        <v>0</v>
      </c>
      <c r="EO246" s="1">
        <f>$AF246*Table1[[#This Row],[Total% (60-64)]]</f>
        <v>0</v>
      </c>
      <c r="EP246" s="1">
        <f>$CT246*Table1[[#This Row],[Female%(60-64)]]</f>
        <v>0</v>
      </c>
      <c r="EQ246" s="1">
        <f>$CU246*Table1[[#This Row],[Male%(60-64)]]</f>
        <v>0</v>
      </c>
      <c r="ER246" s="1">
        <f>$AF246*Table1[[#This Row],[Total% (&gt;=65)]]</f>
        <v>0</v>
      </c>
      <c r="ES246" s="1">
        <f>$CT246*Table1[[#This Row],[Female%(&gt;=65)]]</f>
        <v>0</v>
      </c>
      <c r="ET246" s="1">
        <f>$CU246*Table1[[#This Row],[Male% (&gt;=65)]]</f>
        <v>0</v>
      </c>
    </row>
    <row r="247" spans="1:150" hidden="1" x14ac:dyDescent="0.35">
      <c r="A247" t="s">
        <v>28</v>
      </c>
      <c r="B247" t="s">
        <v>29</v>
      </c>
      <c r="C247" t="s">
        <v>28</v>
      </c>
      <c r="D247" t="s">
        <v>39</v>
      </c>
      <c r="E247" t="s">
        <v>82</v>
      </c>
      <c r="F247" t="s">
        <v>83</v>
      </c>
      <c r="H247">
        <v>2</v>
      </c>
      <c r="I247" s="1">
        <v>0</v>
      </c>
      <c r="J247" s="1">
        <v>34687</v>
      </c>
      <c r="K247" s="1">
        <v>4114</v>
      </c>
      <c r="L247" s="1">
        <v>1025</v>
      </c>
      <c r="M247" s="1">
        <v>0</v>
      </c>
      <c r="N247" s="1">
        <v>5139</v>
      </c>
      <c r="O247" s="3">
        <v>1</v>
      </c>
      <c r="P247" s="3">
        <v>0</v>
      </c>
      <c r="Q247" s="3">
        <v>0</v>
      </c>
      <c r="R247" s="3">
        <v>0</v>
      </c>
      <c r="S247" s="3">
        <v>0</v>
      </c>
      <c r="T247" s="1">
        <v>39826</v>
      </c>
      <c r="U247" s="1">
        <v>0</v>
      </c>
      <c r="V247" s="10">
        <f>Table1[[#This Row],[Pop NW+RATAA]]*Table1[[#This Row],[Perc_pop_Northern_Aleppo]]</f>
        <v>0</v>
      </c>
      <c r="W247" s="10">
        <f>Table1[[#This Row],[Pop NW+RATAA]]*Table1[[#This Row],[Perc_pop_Afrin District]]</f>
        <v>0</v>
      </c>
      <c r="X247" s="10">
        <f>Table1[[#This Row],[Pop NW+RATAA]]*Table1[[#This Row],[Perc_pop_Euphrates Shiled]]</f>
        <v>0</v>
      </c>
      <c r="Y247" s="10">
        <f>Table1[[#This Row],[Pop NW+RATAA]]*Table1[[#This Row],[Perc_Pop_Idleb_NSAG]]</f>
        <v>0</v>
      </c>
      <c r="Z247" s="3">
        <v>0</v>
      </c>
      <c r="AA247" s="3">
        <v>0</v>
      </c>
      <c r="AB247" s="3">
        <v>0</v>
      </c>
      <c r="AC247" s="3">
        <v>0</v>
      </c>
      <c r="AD247" s="1">
        <v>5139</v>
      </c>
      <c r="AE247" s="1">
        <v>0</v>
      </c>
      <c r="AF247" s="1">
        <v>0</v>
      </c>
      <c r="AG247" s="1">
        <v>0</v>
      </c>
      <c r="AH247" s="1">
        <v>0</v>
      </c>
      <c r="AI247" s="1">
        <f>Table1[[#This Row],[NWS_pin]]*Table1[[#This Row],[Perc_pop_Northern_Aleppo]]</f>
        <v>0</v>
      </c>
      <c r="AJ247" s="1">
        <f>Table1[[#This Row],[NWS_pin]]*Table1[[#This Row],[Perc_pop_Afrin District]]</f>
        <v>0</v>
      </c>
      <c r="AK247" s="1">
        <f>Table1[[#This Row],[NWS_pin]]*Table1[[#This Row],[Perc_pop_Euphrates Shiled]]</f>
        <v>0</v>
      </c>
      <c r="AL247" s="1">
        <f>Table1[[#This Row],[NWS_pin]]*Table1[[#This Row],[Perc_Pop_Idleb_NSAG]]</f>
        <v>0</v>
      </c>
      <c r="AM247" s="4">
        <v>0.50537873072855699</v>
      </c>
      <c r="AN247" s="4">
        <v>0.49462126927144401</v>
      </c>
      <c r="AO247" s="4">
        <v>9.85612266330603E-2</v>
      </c>
      <c r="AP247" s="4">
        <v>0.32437932942249498</v>
      </c>
      <c r="AQ247" s="4">
        <v>0.62485728780535899</v>
      </c>
      <c r="AR247" s="4">
        <v>1.0865469790109401E-2</v>
      </c>
      <c r="AS247" s="4">
        <v>0</v>
      </c>
      <c r="AT247" s="4">
        <v>3.9897912982036501E-2</v>
      </c>
      <c r="AU247" s="4">
        <v>0.12783207075591799</v>
      </c>
      <c r="AV247" s="4">
        <v>0.13020159291192801</v>
      </c>
      <c r="AW247" s="4">
        <v>0.12541101413334099</v>
      </c>
      <c r="AX247" s="4">
        <v>0.14770170260069401</v>
      </c>
      <c r="AY247" s="4">
        <v>0.119362500274985</v>
      </c>
      <c r="AZ247" s="4">
        <v>0.176657250999012</v>
      </c>
      <c r="BA247" s="4">
        <v>0.10652219537001099</v>
      </c>
      <c r="BB247" s="4">
        <v>6.8136299255263003E-2</v>
      </c>
      <c r="BC247" s="4">
        <v>0.14574294195238999</v>
      </c>
      <c r="BD247" s="4">
        <v>4.2065081205592401E-2</v>
      </c>
      <c r="BE247" s="4">
        <v>5.1163432043625098E-2</v>
      </c>
      <c r="BF247" s="4">
        <v>3.2768851374997097E-2</v>
      </c>
      <c r="BG247" s="4">
        <v>5.2507534573127498E-2</v>
      </c>
      <c r="BH247" s="4">
        <v>8.5261483290219903E-2</v>
      </c>
      <c r="BI247" s="4">
        <v>1.9041223968703801E-2</v>
      </c>
      <c r="BJ247" s="4">
        <v>6.1922493250985401E-2</v>
      </c>
      <c r="BK247" s="4">
        <v>8.9692086770311305E-2</v>
      </c>
      <c r="BL247" s="4">
        <v>3.3548942015882599E-2</v>
      </c>
      <c r="BM247" s="4">
        <v>9.5391139555716306E-3</v>
      </c>
      <c r="BN247" s="4">
        <v>9.4205800701243608E-3</v>
      </c>
      <c r="BO247" s="4">
        <v>9.6602258209467409E-3</v>
      </c>
      <c r="BP247" s="4">
        <v>2.11416283212418E-2</v>
      </c>
      <c r="BQ247" s="4">
        <v>9.4205800701243608E-3</v>
      </c>
      <c r="BR247" s="4">
        <v>3.3117596311221499E-2</v>
      </c>
      <c r="BS247" s="4">
        <v>0.124828724435272</v>
      </c>
      <c r="BT247" s="4">
        <v>0.16484164153188999</v>
      </c>
      <c r="BU247" s="4">
        <v>8.3945570977633596E-2</v>
      </c>
      <c r="BV247" s="4">
        <v>0.125224280928286</v>
      </c>
      <c r="BW247" s="4">
        <v>0.119716626858028</v>
      </c>
      <c r="BX247" s="4">
        <v>0.13085172033747</v>
      </c>
      <c r="BY247" s="4">
        <v>7.4036511138302993E-2</v>
      </c>
      <c r="BZ247" s="4">
        <v>3.6133001214853598E-2</v>
      </c>
      <c r="CA247" s="4">
        <v>0.112764380167238</v>
      </c>
      <c r="CB247" s="4">
        <v>3.7980150390640399E-2</v>
      </c>
      <c r="CC247" s="4">
        <v>4.7101766391909598E-2</v>
      </c>
      <c r="CD247" s="4">
        <v>2.8660149405432201E-2</v>
      </c>
      <c r="CE247" s="4">
        <v>3.5947899007396103E-2</v>
      </c>
      <c r="CF247" s="4">
        <v>2.8431834017194801E-2</v>
      </c>
      <c r="CG247" s="4">
        <v>4.3627430036088599E-2</v>
      </c>
      <c r="CH247" s="4">
        <v>1.43516518294556E-2</v>
      </c>
      <c r="CI247" s="4">
        <v>1.4164888866550899E-2</v>
      </c>
      <c r="CJ247" s="4">
        <v>1.45424766786962E-2</v>
      </c>
      <c r="CK247" s="4">
        <v>1.1568129648791701E-2</v>
      </c>
      <c r="CL247" s="4">
        <v>1.34354219497876E-2</v>
      </c>
      <c r="CM247" s="4">
        <v>9.6602258209467409E-3</v>
      </c>
      <c r="CN247" s="4">
        <v>2.2251760947150502E-3</v>
      </c>
      <c r="CO247" s="4">
        <v>4.4029872240709898E-3</v>
      </c>
      <c r="CP247" s="4">
        <v>0</v>
      </c>
      <c r="CQ247" s="4">
        <v>4.6056564939981398E-3</v>
      </c>
      <c r="CR247" s="4">
        <v>9.1132772591331693E-3</v>
      </c>
      <c r="CS247" s="4">
        <v>0</v>
      </c>
      <c r="CT247" s="1">
        <f>Table1[[#This Row],[Female %]]*Table1[[#This Row],[NWS_pin]]</f>
        <v>0</v>
      </c>
      <c r="CU247" s="1">
        <f>Table1[[#This Row],[Male %]]*Table1[[#This Row],[NWS_pin]]</f>
        <v>0</v>
      </c>
      <c r="CV247" s="1">
        <f>Table1[[#This Row],[Female% (0-2)22]]+Table1[[#This Row],[Male%(0-2)3]]</f>
        <v>0</v>
      </c>
      <c r="CW247" s="1">
        <f>$CT247*Table1[[#This Row],[Female% (0-2)]]</f>
        <v>0</v>
      </c>
      <c r="CX247" s="1">
        <f>$CU247*Table1[[#This Row],[Male%(0-2)]]</f>
        <v>0</v>
      </c>
      <c r="CY247" s="1">
        <f>Table1[[#This Row],[Female%  (3-5)5]]+Table1[[#This Row],[Male% (3-5)6]]</f>
        <v>0</v>
      </c>
      <c r="CZ247" s="1">
        <f>$AF247*Table1[[#This Row],[Female%  (3-5)]]</f>
        <v>0</v>
      </c>
      <c r="DA247" s="1">
        <f>$CU247*Table1[[#This Row],[Male% (3-5)]]</f>
        <v>0</v>
      </c>
      <c r="DB247" s="1">
        <f>Table1[[#This Row],[Female% (6-8)8]]+Table1[[#This Row],[Male%(6-8)9]]</f>
        <v>0</v>
      </c>
      <c r="DC247" s="1">
        <f>$CT247*Table1[[#This Row],[Female% (6-8)]]</f>
        <v>0</v>
      </c>
      <c r="DD247" s="1">
        <f>$CU247*Table1[[#This Row],[Male%(6-8)]]</f>
        <v>0</v>
      </c>
      <c r="DE247" s="1">
        <f>Table1[[#This Row],[Female% (9 - 11)11]]+Table1[[#This Row],[Male% (9 - 11)12]]</f>
        <v>0</v>
      </c>
      <c r="DF247" s="1">
        <f>$CT247*Table1[[#This Row],[Female% (9 - 11)]]</f>
        <v>0</v>
      </c>
      <c r="DG247" s="1">
        <f>$CU247*Table1[[#This Row],[Male% (9 - 11)]]</f>
        <v>0</v>
      </c>
      <c r="DH247" s="1">
        <f>Table1[[#This Row],[Female% (12-14)14]]+Table1[[#This Row],[Male%(12-14)15]]</f>
        <v>0</v>
      </c>
      <c r="DI247" s="1">
        <f>$CT247*Table1[[#This Row],[Female% (12-14)]]</f>
        <v>0</v>
      </c>
      <c r="DJ247" s="1">
        <f>$CU247*Table1[[#This Row],[Male%(12-14)]]</f>
        <v>0</v>
      </c>
      <c r="DK247" s="1">
        <f>Table1[[#This Row],[Female% (15-17)17]]+Table1[[#This Row],[Male%(15-17)18]]</f>
        <v>0</v>
      </c>
      <c r="DL247" s="1">
        <f>$CT247*Table1[[#This Row],[Female% (15-17)]]</f>
        <v>0</v>
      </c>
      <c r="DM247" s="1">
        <f>$CU247*Table1[[#This Row],[Male%(15-17)]]</f>
        <v>0</v>
      </c>
      <c r="DN247" s="1">
        <f>$AF247*Table1[[#This Row],[Total% (18-19)]]</f>
        <v>0</v>
      </c>
      <c r="DO247" s="1">
        <f>$CT247*Table1[[#This Row],[Female% (18-19)]]</f>
        <v>0</v>
      </c>
      <c r="DP247" s="1">
        <f>$CU247*Table1[[#This Row],[Male%(18-19)]]</f>
        <v>0</v>
      </c>
      <c r="DQ247" s="1">
        <f>$AF247*Table1[[#This Row],[Total% (20-24)]]</f>
        <v>0</v>
      </c>
      <c r="DR247" s="1">
        <f>$CT247*Table1[[#This Row],[Female% (20-24)]]</f>
        <v>0</v>
      </c>
      <c r="DS247" s="1">
        <f>$CU247*Table1[[#This Row],[Male% (20-24)]]</f>
        <v>0</v>
      </c>
      <c r="DT247" s="1">
        <f>$AF247*Table1[[#This Row],[Total% (25-29)]]</f>
        <v>0</v>
      </c>
      <c r="DU247" s="1">
        <f>$CT247*Table1[[#This Row],[Female% (25-29)]]</f>
        <v>0</v>
      </c>
      <c r="DV247" s="1">
        <f>$CU247*Table1[[#This Row],[Male% (25-29)]]</f>
        <v>0</v>
      </c>
      <c r="DW247" s="1">
        <f>$AF247*Table1[[#This Row],[Total%   (30-34)]]</f>
        <v>0</v>
      </c>
      <c r="DX247" s="1">
        <f>$CT247*Table1[[#This Row],[Female%   (30-34)]]</f>
        <v>0</v>
      </c>
      <c r="DY247" s="1">
        <f>$CU247*Table1[[#This Row],[Male%  (30-34)]]</f>
        <v>0</v>
      </c>
      <c r="DZ247" s="1">
        <f>$AF247*Table1[[#This Row],[Total% (35-39)]]</f>
        <v>0</v>
      </c>
      <c r="EA247" s="1">
        <f>$CT247*Table1[[#This Row],[Female% (35-39)]]</f>
        <v>0</v>
      </c>
      <c r="EB247" s="1">
        <f>$CU247*Table1[[#This Row],[Male% (35-39)]]</f>
        <v>0</v>
      </c>
      <c r="EC247" s="1">
        <f>$AF247*Table1[[#This Row],[Total% (40-44)]]</f>
        <v>0</v>
      </c>
      <c r="ED247" s="1">
        <f>$CT247*Table1[[#This Row],[Female% (40-44)]]</f>
        <v>0</v>
      </c>
      <c r="EE247" s="1">
        <f>$CU247*Table1[[#This Row],[Male%(55-59)]]</f>
        <v>0</v>
      </c>
      <c r="EF247" s="1">
        <f>$AF247*Table1[[#This Row],[Total% (45-49)]]</f>
        <v>0</v>
      </c>
      <c r="EG247" s="1">
        <f>$CT247*Table1[[#This Row],[Female% (45-49)]]</f>
        <v>0</v>
      </c>
      <c r="EH247" s="1">
        <f>$CU247*Table1[[#This Row],[Male% (45-49)]]</f>
        <v>0</v>
      </c>
      <c r="EI247" s="1">
        <f>$AF247*Table1[[#This Row],[Total% (50-54)]]</f>
        <v>0</v>
      </c>
      <c r="EJ247" s="1">
        <f>$CT247*Table1[[#This Row],[Female%(50-54)]]</f>
        <v>0</v>
      </c>
      <c r="EK247" s="1">
        <f>$CU247*Table1[[#This Row],[Male% (50-54)]]</f>
        <v>0</v>
      </c>
      <c r="EL247" s="1">
        <f>$AF247*Table1[[#This Row],[Total% (55-59)]]</f>
        <v>0</v>
      </c>
      <c r="EM247" s="1">
        <f>$CT247*Table1[[#This Row],[Female% (55-59)]]</f>
        <v>0</v>
      </c>
      <c r="EN247" s="1">
        <f>$CU247*Table1[[#This Row],[Male% (55-59)]]</f>
        <v>0</v>
      </c>
      <c r="EO247" s="1">
        <f>$AF247*Table1[[#This Row],[Total% (60-64)]]</f>
        <v>0</v>
      </c>
      <c r="EP247" s="1">
        <f>$CT247*Table1[[#This Row],[Female%(60-64)]]</f>
        <v>0</v>
      </c>
      <c r="EQ247" s="1">
        <f>$CU247*Table1[[#This Row],[Male%(60-64)]]</f>
        <v>0</v>
      </c>
      <c r="ER247" s="1">
        <f>$AF247*Table1[[#This Row],[Total% (&gt;=65)]]</f>
        <v>0</v>
      </c>
      <c r="ES247" s="1">
        <f>$CT247*Table1[[#This Row],[Female%(&gt;=65)]]</f>
        <v>0</v>
      </c>
      <c r="ET247" s="1">
        <f>$CU247*Table1[[#This Row],[Male% (&gt;=65)]]</f>
        <v>0</v>
      </c>
    </row>
    <row r="248" spans="1:150" hidden="1" x14ac:dyDescent="0.35">
      <c r="A248" t="s">
        <v>28</v>
      </c>
      <c r="B248" t="s">
        <v>29</v>
      </c>
      <c r="C248" t="s">
        <v>121</v>
      </c>
      <c r="D248" t="s">
        <v>122</v>
      </c>
      <c r="E248" t="s">
        <v>121</v>
      </c>
      <c r="F248" t="s">
        <v>123</v>
      </c>
      <c r="H248">
        <v>2</v>
      </c>
      <c r="I248" s="1">
        <v>0</v>
      </c>
      <c r="J248" s="1">
        <v>101591</v>
      </c>
      <c r="K248" s="1">
        <v>32013</v>
      </c>
      <c r="L248" s="1">
        <v>213</v>
      </c>
      <c r="M248" s="1">
        <v>0</v>
      </c>
      <c r="N248" s="1">
        <v>32226</v>
      </c>
      <c r="O248" s="3">
        <v>1</v>
      </c>
      <c r="P248" s="3">
        <v>0</v>
      </c>
      <c r="Q248" s="3">
        <v>0</v>
      </c>
      <c r="R248" s="3">
        <v>0</v>
      </c>
      <c r="S248" s="3">
        <v>0</v>
      </c>
      <c r="T248" s="1">
        <v>133817</v>
      </c>
      <c r="U248" s="1">
        <v>0</v>
      </c>
      <c r="V248" s="10">
        <f>Table1[[#This Row],[Pop NW+RATAA]]*Table1[[#This Row],[Perc_pop_Northern_Aleppo]]</f>
        <v>0</v>
      </c>
      <c r="W248" s="10">
        <f>Table1[[#This Row],[Pop NW+RATAA]]*Table1[[#This Row],[Perc_pop_Afrin District]]</f>
        <v>0</v>
      </c>
      <c r="X248" s="10">
        <f>Table1[[#This Row],[Pop NW+RATAA]]*Table1[[#This Row],[Perc_pop_Euphrates Shiled]]</f>
        <v>0</v>
      </c>
      <c r="Y248" s="10">
        <f>Table1[[#This Row],[Pop NW+RATAA]]*Table1[[#This Row],[Perc_Pop_Idleb_NSAG]]</f>
        <v>0</v>
      </c>
      <c r="Z248" s="3">
        <v>0</v>
      </c>
      <c r="AA248" s="3">
        <v>0</v>
      </c>
      <c r="AB248" s="3">
        <v>0</v>
      </c>
      <c r="AC248" s="3">
        <v>0</v>
      </c>
      <c r="AD248" s="1">
        <v>32226</v>
      </c>
      <c r="AE248" s="1">
        <v>0</v>
      </c>
      <c r="AF248" s="1">
        <v>0</v>
      </c>
      <c r="AG248" s="1">
        <v>0</v>
      </c>
      <c r="AH248" s="1">
        <v>0</v>
      </c>
      <c r="AI248" s="1">
        <f>Table1[[#This Row],[NWS_pin]]*Table1[[#This Row],[Perc_pop_Northern_Aleppo]]</f>
        <v>0</v>
      </c>
      <c r="AJ248" s="1">
        <f>Table1[[#This Row],[NWS_pin]]*Table1[[#This Row],[Perc_pop_Afrin District]]</f>
        <v>0</v>
      </c>
      <c r="AK248" s="1">
        <f>Table1[[#This Row],[NWS_pin]]*Table1[[#This Row],[Perc_pop_Euphrates Shiled]]</f>
        <v>0</v>
      </c>
      <c r="AL248" s="1">
        <f>Table1[[#This Row],[NWS_pin]]*Table1[[#This Row],[Perc_Pop_Idleb_NSAG]]</f>
        <v>0</v>
      </c>
      <c r="AM248" s="4">
        <v>0.50354450114024096</v>
      </c>
      <c r="AN248" s="4">
        <v>0.49645549885975898</v>
      </c>
      <c r="AO248" s="4">
        <v>0.100737923586377</v>
      </c>
      <c r="AP248" s="4">
        <v>0.486848689358227</v>
      </c>
      <c r="AQ248" s="4">
        <v>0.47766891688491903</v>
      </c>
      <c r="AR248" s="4">
        <v>1.6187856922679499E-2</v>
      </c>
      <c r="AS248" s="4">
        <v>0</v>
      </c>
      <c r="AT248" s="4">
        <v>1.9294536834174598E-2</v>
      </c>
      <c r="AU248" s="4">
        <v>5.5283756119417E-2</v>
      </c>
      <c r="AV248" s="4">
        <v>4.6301765733274103E-2</v>
      </c>
      <c r="AW248" s="4">
        <v>6.4394002412639095E-2</v>
      </c>
      <c r="AX248" s="4">
        <v>0.118621979827415</v>
      </c>
      <c r="AY248" s="4">
        <v>0.12986654852552901</v>
      </c>
      <c r="AZ248" s="4">
        <v>0.10721684734598801</v>
      </c>
      <c r="BA248" s="4">
        <v>0.11589877393829601</v>
      </c>
      <c r="BB248" s="4">
        <v>0.10168965037797</v>
      </c>
      <c r="BC248" s="4">
        <v>0.13031079284282501</v>
      </c>
      <c r="BD248" s="4">
        <v>8.9842662948196803E-2</v>
      </c>
      <c r="BE248" s="4">
        <v>8.9943855661463096E-2</v>
      </c>
      <c r="BF248" s="4">
        <v>8.9740025280898E-2</v>
      </c>
      <c r="BG248" s="4">
        <v>8.9597897494621895E-2</v>
      </c>
      <c r="BH248" s="4">
        <v>7.4476741535042898E-2</v>
      </c>
      <c r="BI248" s="4">
        <v>0.104934971918851</v>
      </c>
      <c r="BJ248" s="4">
        <v>5.68517015518991E-2</v>
      </c>
      <c r="BK248" s="4">
        <v>4.5932105998242101E-2</v>
      </c>
      <c r="BL248" s="4">
        <v>6.7927220522578602E-2</v>
      </c>
      <c r="BM248" s="4">
        <v>3.7034081399449498E-2</v>
      </c>
      <c r="BN248" s="4">
        <v>3.5857050582998699E-2</v>
      </c>
      <c r="BO248" s="4">
        <v>3.8227919309710798E-2</v>
      </c>
      <c r="BP248" s="4">
        <v>5.6570888406223499E-2</v>
      </c>
      <c r="BQ248" s="4">
        <v>6.5654880225593695E-2</v>
      </c>
      <c r="BR248" s="4">
        <v>4.7357184177843299E-2</v>
      </c>
      <c r="BS248" s="4">
        <v>4.7492472982669599E-2</v>
      </c>
      <c r="BT248" s="4">
        <v>7.7313019870736494E-2</v>
      </c>
      <c r="BU248" s="4">
        <v>1.72461116452104E-2</v>
      </c>
      <c r="BV248" s="4">
        <v>8.1383113657301706E-2</v>
      </c>
      <c r="BW248" s="4">
        <v>0.10379316426955899</v>
      </c>
      <c r="BX248" s="4">
        <v>5.8653064776799102E-2</v>
      </c>
      <c r="BY248" s="4">
        <v>6.6866467468821397E-2</v>
      </c>
      <c r="BZ248" s="4">
        <v>6.5085062729617602E-2</v>
      </c>
      <c r="CA248" s="4">
        <v>6.8673309296117993E-2</v>
      </c>
      <c r="CB248" s="4">
        <v>4.4803499810679E-2</v>
      </c>
      <c r="CC248" s="4">
        <v>4.1738435054618002E-2</v>
      </c>
      <c r="CD248" s="4">
        <v>4.7912331331526503E-2</v>
      </c>
      <c r="CE248" s="4">
        <v>4.0843879556987699E-2</v>
      </c>
      <c r="CF248" s="4">
        <v>4.1168764765301499E-2</v>
      </c>
      <c r="CG248" s="4">
        <v>4.0514355238042699E-2</v>
      </c>
      <c r="CH248" s="4">
        <v>3.8220458048623798E-2</v>
      </c>
      <c r="CI248" s="4">
        <v>3.48585521407168E-2</v>
      </c>
      <c r="CJ248" s="4">
        <v>4.1630369384414397E-2</v>
      </c>
      <c r="CK248" s="4">
        <v>2.6819901511674901E-2</v>
      </c>
      <c r="CL248" s="4">
        <v>2.33887482628721E-2</v>
      </c>
      <c r="CM248" s="4">
        <v>3.03000489870726E-2</v>
      </c>
      <c r="CN248" s="4">
        <v>2.2321356869795101E-2</v>
      </c>
      <c r="CO248" s="4">
        <v>2.2931654266464801E-2</v>
      </c>
      <c r="CP248" s="4">
        <v>2.1702344896196098E-2</v>
      </c>
      <c r="CQ248" s="4">
        <v>1.1547108407927499E-2</v>
      </c>
      <c r="CR248" s="4">
        <v>0</v>
      </c>
      <c r="CS248" s="4">
        <v>2.32591006332863E-2</v>
      </c>
      <c r="CT248" s="1">
        <f>Table1[[#This Row],[Female %]]*Table1[[#This Row],[NWS_pin]]</f>
        <v>0</v>
      </c>
      <c r="CU248" s="1">
        <f>Table1[[#This Row],[Male %]]*Table1[[#This Row],[NWS_pin]]</f>
        <v>0</v>
      </c>
      <c r="CV248" s="1">
        <f>Table1[[#This Row],[Female% (0-2)22]]+Table1[[#This Row],[Male%(0-2)3]]</f>
        <v>0</v>
      </c>
      <c r="CW248" s="1">
        <f>$CT248*Table1[[#This Row],[Female% (0-2)]]</f>
        <v>0</v>
      </c>
      <c r="CX248" s="1">
        <f>$CU248*Table1[[#This Row],[Male%(0-2)]]</f>
        <v>0</v>
      </c>
      <c r="CY248" s="1">
        <f>Table1[[#This Row],[Female%  (3-5)5]]+Table1[[#This Row],[Male% (3-5)6]]</f>
        <v>0</v>
      </c>
      <c r="CZ248" s="1">
        <f>$AF248*Table1[[#This Row],[Female%  (3-5)]]</f>
        <v>0</v>
      </c>
      <c r="DA248" s="1">
        <f>$CU248*Table1[[#This Row],[Male% (3-5)]]</f>
        <v>0</v>
      </c>
      <c r="DB248" s="1">
        <f>Table1[[#This Row],[Female% (6-8)8]]+Table1[[#This Row],[Male%(6-8)9]]</f>
        <v>0</v>
      </c>
      <c r="DC248" s="1">
        <f>$CT248*Table1[[#This Row],[Female% (6-8)]]</f>
        <v>0</v>
      </c>
      <c r="DD248" s="1">
        <f>$CU248*Table1[[#This Row],[Male%(6-8)]]</f>
        <v>0</v>
      </c>
      <c r="DE248" s="1">
        <f>Table1[[#This Row],[Female% (9 - 11)11]]+Table1[[#This Row],[Male% (9 - 11)12]]</f>
        <v>0</v>
      </c>
      <c r="DF248" s="1">
        <f>$CT248*Table1[[#This Row],[Female% (9 - 11)]]</f>
        <v>0</v>
      </c>
      <c r="DG248" s="1">
        <f>$CU248*Table1[[#This Row],[Male% (9 - 11)]]</f>
        <v>0</v>
      </c>
      <c r="DH248" s="1">
        <f>Table1[[#This Row],[Female% (12-14)14]]+Table1[[#This Row],[Male%(12-14)15]]</f>
        <v>0</v>
      </c>
      <c r="DI248" s="1">
        <f>$CT248*Table1[[#This Row],[Female% (12-14)]]</f>
        <v>0</v>
      </c>
      <c r="DJ248" s="1">
        <f>$CU248*Table1[[#This Row],[Male%(12-14)]]</f>
        <v>0</v>
      </c>
      <c r="DK248" s="1">
        <f>Table1[[#This Row],[Female% (15-17)17]]+Table1[[#This Row],[Male%(15-17)18]]</f>
        <v>0</v>
      </c>
      <c r="DL248" s="1">
        <f>$CT248*Table1[[#This Row],[Female% (15-17)]]</f>
        <v>0</v>
      </c>
      <c r="DM248" s="1">
        <f>$CU248*Table1[[#This Row],[Male%(15-17)]]</f>
        <v>0</v>
      </c>
      <c r="DN248" s="1">
        <f>$AF248*Table1[[#This Row],[Total% (18-19)]]</f>
        <v>0</v>
      </c>
      <c r="DO248" s="1">
        <f>$CT248*Table1[[#This Row],[Female% (18-19)]]</f>
        <v>0</v>
      </c>
      <c r="DP248" s="1">
        <f>$CU248*Table1[[#This Row],[Male%(18-19)]]</f>
        <v>0</v>
      </c>
      <c r="DQ248" s="1">
        <f>$AF248*Table1[[#This Row],[Total% (20-24)]]</f>
        <v>0</v>
      </c>
      <c r="DR248" s="1">
        <f>$CT248*Table1[[#This Row],[Female% (20-24)]]</f>
        <v>0</v>
      </c>
      <c r="DS248" s="1">
        <f>$CU248*Table1[[#This Row],[Male% (20-24)]]</f>
        <v>0</v>
      </c>
      <c r="DT248" s="1">
        <f>$AF248*Table1[[#This Row],[Total% (25-29)]]</f>
        <v>0</v>
      </c>
      <c r="DU248" s="1">
        <f>$CT248*Table1[[#This Row],[Female% (25-29)]]</f>
        <v>0</v>
      </c>
      <c r="DV248" s="1">
        <f>$CU248*Table1[[#This Row],[Male% (25-29)]]</f>
        <v>0</v>
      </c>
      <c r="DW248" s="1">
        <f>$AF248*Table1[[#This Row],[Total%   (30-34)]]</f>
        <v>0</v>
      </c>
      <c r="DX248" s="1">
        <f>$CT248*Table1[[#This Row],[Female%   (30-34)]]</f>
        <v>0</v>
      </c>
      <c r="DY248" s="1">
        <f>$CU248*Table1[[#This Row],[Male%  (30-34)]]</f>
        <v>0</v>
      </c>
      <c r="DZ248" s="1">
        <f>$AF248*Table1[[#This Row],[Total% (35-39)]]</f>
        <v>0</v>
      </c>
      <c r="EA248" s="1">
        <f>$CT248*Table1[[#This Row],[Female% (35-39)]]</f>
        <v>0</v>
      </c>
      <c r="EB248" s="1">
        <f>$CU248*Table1[[#This Row],[Male% (35-39)]]</f>
        <v>0</v>
      </c>
      <c r="EC248" s="1">
        <f>$AF248*Table1[[#This Row],[Total% (40-44)]]</f>
        <v>0</v>
      </c>
      <c r="ED248" s="1">
        <f>$CT248*Table1[[#This Row],[Female% (40-44)]]</f>
        <v>0</v>
      </c>
      <c r="EE248" s="1">
        <f>$CU248*Table1[[#This Row],[Male%(55-59)]]</f>
        <v>0</v>
      </c>
      <c r="EF248" s="1">
        <f>$AF248*Table1[[#This Row],[Total% (45-49)]]</f>
        <v>0</v>
      </c>
      <c r="EG248" s="1">
        <f>$CT248*Table1[[#This Row],[Female% (45-49)]]</f>
        <v>0</v>
      </c>
      <c r="EH248" s="1">
        <f>$CU248*Table1[[#This Row],[Male% (45-49)]]</f>
        <v>0</v>
      </c>
      <c r="EI248" s="1">
        <f>$AF248*Table1[[#This Row],[Total% (50-54)]]</f>
        <v>0</v>
      </c>
      <c r="EJ248" s="1">
        <f>$CT248*Table1[[#This Row],[Female%(50-54)]]</f>
        <v>0</v>
      </c>
      <c r="EK248" s="1">
        <f>$CU248*Table1[[#This Row],[Male% (50-54)]]</f>
        <v>0</v>
      </c>
      <c r="EL248" s="1">
        <f>$AF248*Table1[[#This Row],[Total% (55-59)]]</f>
        <v>0</v>
      </c>
      <c r="EM248" s="1">
        <f>$CT248*Table1[[#This Row],[Female% (55-59)]]</f>
        <v>0</v>
      </c>
      <c r="EN248" s="1">
        <f>$CU248*Table1[[#This Row],[Male% (55-59)]]</f>
        <v>0</v>
      </c>
      <c r="EO248" s="1">
        <f>$AF248*Table1[[#This Row],[Total% (60-64)]]</f>
        <v>0</v>
      </c>
      <c r="EP248" s="1">
        <f>$CT248*Table1[[#This Row],[Female%(60-64)]]</f>
        <v>0</v>
      </c>
      <c r="EQ248" s="1">
        <f>$CU248*Table1[[#This Row],[Male%(60-64)]]</f>
        <v>0</v>
      </c>
      <c r="ER248" s="1">
        <f>$AF248*Table1[[#This Row],[Total% (&gt;=65)]]</f>
        <v>0</v>
      </c>
      <c r="ES248" s="1">
        <f>$CT248*Table1[[#This Row],[Female%(&gt;=65)]]</f>
        <v>0</v>
      </c>
      <c r="ET248" s="1">
        <f>$CU248*Table1[[#This Row],[Male% (&gt;=65)]]</f>
        <v>0</v>
      </c>
    </row>
    <row r="249" spans="1:150" hidden="1" x14ac:dyDescent="0.35">
      <c r="A249" t="s">
        <v>28</v>
      </c>
      <c r="B249" t="s">
        <v>29</v>
      </c>
      <c r="C249" t="s">
        <v>121</v>
      </c>
      <c r="D249" t="s">
        <v>122</v>
      </c>
      <c r="E249" t="s">
        <v>269</v>
      </c>
      <c r="F249" t="s">
        <v>270</v>
      </c>
      <c r="H249">
        <v>4</v>
      </c>
      <c r="I249" s="1">
        <v>0</v>
      </c>
      <c r="J249" s="1">
        <v>0</v>
      </c>
      <c r="K249" s="1">
        <v>1481</v>
      </c>
      <c r="L249" s="1">
        <v>10022</v>
      </c>
      <c r="M249" s="1">
        <v>0</v>
      </c>
      <c r="N249" s="1">
        <v>11503</v>
      </c>
      <c r="O249" s="3">
        <v>1</v>
      </c>
      <c r="P249" s="3">
        <v>0</v>
      </c>
      <c r="Q249" s="3">
        <v>0</v>
      </c>
      <c r="R249" s="3">
        <v>0</v>
      </c>
      <c r="S249" s="3">
        <v>0</v>
      </c>
      <c r="T249" s="1">
        <v>11503</v>
      </c>
      <c r="U249" s="1">
        <v>0</v>
      </c>
      <c r="V249" s="10">
        <f>Table1[[#This Row],[Pop NW+RATAA]]*Table1[[#This Row],[Perc_pop_Northern_Aleppo]]</f>
        <v>0</v>
      </c>
      <c r="W249" s="10">
        <f>Table1[[#This Row],[Pop NW+RATAA]]*Table1[[#This Row],[Perc_pop_Afrin District]]</f>
        <v>0</v>
      </c>
      <c r="X249" s="10">
        <f>Table1[[#This Row],[Pop NW+RATAA]]*Table1[[#This Row],[Perc_pop_Euphrates Shiled]]</f>
        <v>0</v>
      </c>
      <c r="Y249" s="10">
        <f>Table1[[#This Row],[Pop NW+RATAA]]*Table1[[#This Row],[Perc_Pop_Idleb_NSAG]]</f>
        <v>0</v>
      </c>
      <c r="Z249" s="3">
        <v>0</v>
      </c>
      <c r="AA249" s="3">
        <v>0</v>
      </c>
      <c r="AB249" s="3">
        <v>0</v>
      </c>
      <c r="AC249" s="3">
        <v>0</v>
      </c>
      <c r="AD249" s="1">
        <v>11503</v>
      </c>
      <c r="AE249" s="1">
        <v>0</v>
      </c>
      <c r="AF249" s="1">
        <v>0</v>
      </c>
      <c r="AG249" s="1">
        <v>0</v>
      </c>
      <c r="AH249" s="1">
        <v>0</v>
      </c>
      <c r="AI249" s="1">
        <f>Table1[[#This Row],[NWS_pin]]*Table1[[#This Row],[Perc_pop_Northern_Aleppo]]</f>
        <v>0</v>
      </c>
      <c r="AJ249" s="1">
        <f>Table1[[#This Row],[NWS_pin]]*Table1[[#This Row],[Perc_pop_Afrin District]]</f>
        <v>0</v>
      </c>
      <c r="AK249" s="1">
        <f>Table1[[#This Row],[NWS_pin]]*Table1[[#This Row],[Perc_pop_Euphrates Shiled]]</f>
        <v>0</v>
      </c>
      <c r="AL249" s="1">
        <f>Table1[[#This Row],[NWS_pin]]*Table1[[#This Row],[Perc_Pop_Idleb_NSAG]]</f>
        <v>0</v>
      </c>
      <c r="AM249" s="4">
        <v>0.50559102874025696</v>
      </c>
      <c r="AN249" s="4">
        <v>0.49440897125974298</v>
      </c>
      <c r="AO249" s="4">
        <v>7.5063047025663895E-2</v>
      </c>
      <c r="AP249" s="4">
        <v>0.43575557470074899</v>
      </c>
      <c r="AQ249" s="4">
        <v>0.53726644735258899</v>
      </c>
      <c r="AR249" s="4">
        <v>7.6181360068152603E-3</v>
      </c>
      <c r="AS249" s="4">
        <v>0</v>
      </c>
      <c r="AT249" s="4">
        <v>1.93598419398467E-2</v>
      </c>
      <c r="AU249" s="4">
        <v>0.112409862127108</v>
      </c>
      <c r="AV249" s="4">
        <v>0.117910876509732</v>
      </c>
      <c r="AW249" s="4">
        <v>0.106784431193403</v>
      </c>
      <c r="AX249" s="4">
        <v>0.13352904913923999</v>
      </c>
      <c r="AY249" s="4">
        <v>0.13954480716463999</v>
      </c>
      <c r="AZ249" s="4">
        <v>0.12737723259561001</v>
      </c>
      <c r="BA249" s="4">
        <v>0.100802102020627</v>
      </c>
      <c r="BB249" s="4">
        <v>9.9228336699469802E-2</v>
      </c>
      <c r="BC249" s="4">
        <v>0.102411461223176</v>
      </c>
      <c r="BD249" s="4">
        <v>0.100463785598843</v>
      </c>
      <c r="BE249" s="4">
        <v>9.71788021918778E-2</v>
      </c>
      <c r="BF249" s="4">
        <v>0.10382306554048799</v>
      </c>
      <c r="BG249" s="4">
        <v>7.71053474457985E-2</v>
      </c>
      <c r="BH249" s="4">
        <v>7.1917812628241706E-2</v>
      </c>
      <c r="BI249" s="4">
        <v>8.2410208840913601E-2</v>
      </c>
      <c r="BJ249" s="4">
        <v>5.63195949446023E-2</v>
      </c>
      <c r="BK249" s="4">
        <v>6.1953297874908497E-2</v>
      </c>
      <c r="BL249" s="4">
        <v>5.0558474443708201E-2</v>
      </c>
      <c r="BM249" s="4">
        <v>1.7629841233343199E-2</v>
      </c>
      <c r="BN249" s="4">
        <v>1.0148941477505899E-2</v>
      </c>
      <c r="BO249" s="4">
        <v>2.5279936646902E-2</v>
      </c>
      <c r="BP249" s="4">
        <v>6.13173698103203E-2</v>
      </c>
      <c r="BQ249" s="4">
        <v>7.3252975208606602E-2</v>
      </c>
      <c r="BR249" s="4">
        <v>4.9111816588700001E-2</v>
      </c>
      <c r="BS249" s="4">
        <v>5.5320308476555398E-2</v>
      </c>
      <c r="BT249" s="4">
        <v>6.5431576236954503E-2</v>
      </c>
      <c r="BU249" s="4">
        <v>4.4980353973256802E-2</v>
      </c>
      <c r="BV249" s="4">
        <v>7.0327424471855499E-2</v>
      </c>
      <c r="BW249" s="4">
        <v>7.9743556732138704E-2</v>
      </c>
      <c r="BX249" s="4">
        <v>6.0698327362026301E-2</v>
      </c>
      <c r="BY249" s="4">
        <v>8.1846252435717498E-2</v>
      </c>
      <c r="BZ249" s="4">
        <v>9.8644801532061496E-2</v>
      </c>
      <c r="CA249" s="4">
        <v>6.4667770222250107E-2</v>
      </c>
      <c r="CB249" s="4">
        <v>6.5334816295118697E-2</v>
      </c>
      <c r="CC249" s="4">
        <v>5.0269237268360203E-2</v>
      </c>
      <c r="CD249" s="4">
        <v>8.0741133820665306E-2</v>
      </c>
      <c r="CE249" s="4">
        <v>3.9575210291360997E-2</v>
      </c>
      <c r="CF249" s="4">
        <v>1.52693579664781E-2</v>
      </c>
      <c r="CG249" s="4">
        <v>6.4430788558953206E-2</v>
      </c>
      <c r="CH249" s="4">
        <v>1.61170184266505E-2</v>
      </c>
      <c r="CI249" s="4">
        <v>1.5348777328065499E-2</v>
      </c>
      <c r="CJ249" s="4">
        <v>1.6902634849354999E-2</v>
      </c>
      <c r="CK249" s="4">
        <v>7.7172026211467497E-3</v>
      </c>
      <c r="CL249" s="4">
        <v>4.1568431809586599E-3</v>
      </c>
      <c r="CM249" s="4">
        <v>1.1358086781204001E-2</v>
      </c>
      <c r="CN249" s="4">
        <v>2.81787962420189E-3</v>
      </c>
      <c r="CO249" s="4">
        <v>0</v>
      </c>
      <c r="CP249" s="4">
        <v>5.6994912875913198E-3</v>
      </c>
      <c r="CQ249" s="4">
        <v>1.36693503751077E-3</v>
      </c>
      <c r="CR249" s="4">
        <v>0</v>
      </c>
      <c r="CS249" s="4">
        <v>2.7647860717977101E-3</v>
      </c>
      <c r="CT249" s="1">
        <f>Table1[[#This Row],[Female %]]*Table1[[#This Row],[NWS_pin]]</f>
        <v>0</v>
      </c>
      <c r="CU249" s="1">
        <f>Table1[[#This Row],[Male %]]*Table1[[#This Row],[NWS_pin]]</f>
        <v>0</v>
      </c>
      <c r="CV249" s="1">
        <f>Table1[[#This Row],[Female% (0-2)22]]+Table1[[#This Row],[Male%(0-2)3]]</f>
        <v>0</v>
      </c>
      <c r="CW249" s="1">
        <f>$CT249*Table1[[#This Row],[Female% (0-2)]]</f>
        <v>0</v>
      </c>
      <c r="CX249" s="1">
        <f>$CU249*Table1[[#This Row],[Male%(0-2)]]</f>
        <v>0</v>
      </c>
      <c r="CY249" s="1">
        <f>Table1[[#This Row],[Female%  (3-5)5]]+Table1[[#This Row],[Male% (3-5)6]]</f>
        <v>0</v>
      </c>
      <c r="CZ249" s="1">
        <f>$AF249*Table1[[#This Row],[Female%  (3-5)]]</f>
        <v>0</v>
      </c>
      <c r="DA249" s="1">
        <f>$CU249*Table1[[#This Row],[Male% (3-5)]]</f>
        <v>0</v>
      </c>
      <c r="DB249" s="1">
        <f>Table1[[#This Row],[Female% (6-8)8]]+Table1[[#This Row],[Male%(6-8)9]]</f>
        <v>0</v>
      </c>
      <c r="DC249" s="1">
        <f>$CT249*Table1[[#This Row],[Female% (6-8)]]</f>
        <v>0</v>
      </c>
      <c r="DD249" s="1">
        <f>$CU249*Table1[[#This Row],[Male%(6-8)]]</f>
        <v>0</v>
      </c>
      <c r="DE249" s="1">
        <f>Table1[[#This Row],[Female% (9 - 11)11]]+Table1[[#This Row],[Male% (9 - 11)12]]</f>
        <v>0</v>
      </c>
      <c r="DF249" s="1">
        <f>$CT249*Table1[[#This Row],[Female% (9 - 11)]]</f>
        <v>0</v>
      </c>
      <c r="DG249" s="1">
        <f>$CU249*Table1[[#This Row],[Male% (9 - 11)]]</f>
        <v>0</v>
      </c>
      <c r="DH249" s="1">
        <f>Table1[[#This Row],[Female% (12-14)14]]+Table1[[#This Row],[Male%(12-14)15]]</f>
        <v>0</v>
      </c>
      <c r="DI249" s="1">
        <f>$CT249*Table1[[#This Row],[Female% (12-14)]]</f>
        <v>0</v>
      </c>
      <c r="DJ249" s="1">
        <f>$CU249*Table1[[#This Row],[Male%(12-14)]]</f>
        <v>0</v>
      </c>
      <c r="DK249" s="1">
        <f>Table1[[#This Row],[Female% (15-17)17]]+Table1[[#This Row],[Male%(15-17)18]]</f>
        <v>0</v>
      </c>
      <c r="DL249" s="1">
        <f>$CT249*Table1[[#This Row],[Female% (15-17)]]</f>
        <v>0</v>
      </c>
      <c r="DM249" s="1">
        <f>$CU249*Table1[[#This Row],[Male%(15-17)]]</f>
        <v>0</v>
      </c>
      <c r="DN249" s="1">
        <f>$AF249*Table1[[#This Row],[Total% (18-19)]]</f>
        <v>0</v>
      </c>
      <c r="DO249" s="1">
        <f>$CT249*Table1[[#This Row],[Female% (18-19)]]</f>
        <v>0</v>
      </c>
      <c r="DP249" s="1">
        <f>$CU249*Table1[[#This Row],[Male%(18-19)]]</f>
        <v>0</v>
      </c>
      <c r="DQ249" s="1">
        <f>$AF249*Table1[[#This Row],[Total% (20-24)]]</f>
        <v>0</v>
      </c>
      <c r="DR249" s="1">
        <f>$CT249*Table1[[#This Row],[Female% (20-24)]]</f>
        <v>0</v>
      </c>
      <c r="DS249" s="1">
        <f>$CU249*Table1[[#This Row],[Male% (20-24)]]</f>
        <v>0</v>
      </c>
      <c r="DT249" s="1">
        <f>$AF249*Table1[[#This Row],[Total% (25-29)]]</f>
        <v>0</v>
      </c>
      <c r="DU249" s="1">
        <f>$CT249*Table1[[#This Row],[Female% (25-29)]]</f>
        <v>0</v>
      </c>
      <c r="DV249" s="1">
        <f>$CU249*Table1[[#This Row],[Male% (25-29)]]</f>
        <v>0</v>
      </c>
      <c r="DW249" s="1">
        <f>$AF249*Table1[[#This Row],[Total%   (30-34)]]</f>
        <v>0</v>
      </c>
      <c r="DX249" s="1">
        <f>$CT249*Table1[[#This Row],[Female%   (30-34)]]</f>
        <v>0</v>
      </c>
      <c r="DY249" s="1">
        <f>$CU249*Table1[[#This Row],[Male%  (30-34)]]</f>
        <v>0</v>
      </c>
      <c r="DZ249" s="1">
        <f>$AF249*Table1[[#This Row],[Total% (35-39)]]</f>
        <v>0</v>
      </c>
      <c r="EA249" s="1">
        <f>$CT249*Table1[[#This Row],[Female% (35-39)]]</f>
        <v>0</v>
      </c>
      <c r="EB249" s="1">
        <f>$CU249*Table1[[#This Row],[Male% (35-39)]]</f>
        <v>0</v>
      </c>
      <c r="EC249" s="1">
        <f>$AF249*Table1[[#This Row],[Total% (40-44)]]</f>
        <v>0</v>
      </c>
      <c r="ED249" s="1">
        <f>$CT249*Table1[[#This Row],[Female% (40-44)]]</f>
        <v>0</v>
      </c>
      <c r="EE249" s="1">
        <f>$CU249*Table1[[#This Row],[Male%(55-59)]]</f>
        <v>0</v>
      </c>
      <c r="EF249" s="1">
        <f>$AF249*Table1[[#This Row],[Total% (45-49)]]</f>
        <v>0</v>
      </c>
      <c r="EG249" s="1">
        <f>$CT249*Table1[[#This Row],[Female% (45-49)]]</f>
        <v>0</v>
      </c>
      <c r="EH249" s="1">
        <f>$CU249*Table1[[#This Row],[Male% (45-49)]]</f>
        <v>0</v>
      </c>
      <c r="EI249" s="1">
        <f>$AF249*Table1[[#This Row],[Total% (50-54)]]</f>
        <v>0</v>
      </c>
      <c r="EJ249" s="1">
        <f>$CT249*Table1[[#This Row],[Female%(50-54)]]</f>
        <v>0</v>
      </c>
      <c r="EK249" s="1">
        <f>$CU249*Table1[[#This Row],[Male% (50-54)]]</f>
        <v>0</v>
      </c>
      <c r="EL249" s="1">
        <f>$AF249*Table1[[#This Row],[Total% (55-59)]]</f>
        <v>0</v>
      </c>
      <c r="EM249" s="1">
        <f>$CT249*Table1[[#This Row],[Female% (55-59)]]</f>
        <v>0</v>
      </c>
      <c r="EN249" s="1">
        <f>$CU249*Table1[[#This Row],[Male% (55-59)]]</f>
        <v>0</v>
      </c>
      <c r="EO249" s="1">
        <f>$AF249*Table1[[#This Row],[Total% (60-64)]]</f>
        <v>0</v>
      </c>
      <c r="EP249" s="1">
        <f>$CT249*Table1[[#This Row],[Female%(60-64)]]</f>
        <v>0</v>
      </c>
      <c r="EQ249" s="1">
        <f>$CU249*Table1[[#This Row],[Male%(60-64)]]</f>
        <v>0</v>
      </c>
      <c r="ER249" s="1">
        <f>$AF249*Table1[[#This Row],[Total% (&gt;=65)]]</f>
        <v>0</v>
      </c>
      <c r="ES249" s="1">
        <f>$CT249*Table1[[#This Row],[Female%(&gt;=65)]]</f>
        <v>0</v>
      </c>
      <c r="ET249" s="1">
        <f>$CU249*Table1[[#This Row],[Male% (&gt;=65)]]</f>
        <v>0</v>
      </c>
    </row>
    <row r="250" spans="1:150" hidden="1" x14ac:dyDescent="0.35">
      <c r="A250" t="s">
        <v>28</v>
      </c>
      <c r="B250" t="s">
        <v>29</v>
      </c>
      <c r="C250" t="s">
        <v>121</v>
      </c>
      <c r="D250" t="s">
        <v>122</v>
      </c>
      <c r="E250" t="s">
        <v>352</v>
      </c>
      <c r="F250" t="s">
        <v>353</v>
      </c>
      <c r="H250">
        <v>4</v>
      </c>
      <c r="I250" s="1">
        <v>0</v>
      </c>
      <c r="J250" s="1">
        <v>4857</v>
      </c>
      <c r="K250" s="1">
        <v>27041</v>
      </c>
      <c r="L250" s="1">
        <v>24723</v>
      </c>
      <c r="M250" s="1">
        <v>0</v>
      </c>
      <c r="N250" s="1">
        <v>51764</v>
      </c>
      <c r="O250" s="3">
        <v>1</v>
      </c>
      <c r="P250" s="3">
        <v>0</v>
      </c>
      <c r="Q250" s="3">
        <v>0</v>
      </c>
      <c r="R250" s="3">
        <v>0</v>
      </c>
      <c r="S250" s="3">
        <v>0</v>
      </c>
      <c r="T250" s="1">
        <v>56621</v>
      </c>
      <c r="U250" s="1">
        <v>0</v>
      </c>
      <c r="V250" s="10">
        <f>Table1[[#This Row],[Pop NW+RATAA]]*Table1[[#This Row],[Perc_pop_Northern_Aleppo]]</f>
        <v>0</v>
      </c>
      <c r="W250" s="10">
        <f>Table1[[#This Row],[Pop NW+RATAA]]*Table1[[#This Row],[Perc_pop_Afrin District]]</f>
        <v>0</v>
      </c>
      <c r="X250" s="10">
        <f>Table1[[#This Row],[Pop NW+RATAA]]*Table1[[#This Row],[Perc_pop_Euphrates Shiled]]</f>
        <v>0</v>
      </c>
      <c r="Y250" s="10">
        <f>Table1[[#This Row],[Pop NW+RATAA]]*Table1[[#This Row],[Perc_Pop_Idleb_NSAG]]</f>
        <v>0</v>
      </c>
      <c r="Z250" s="3">
        <v>0</v>
      </c>
      <c r="AA250" s="3">
        <v>0</v>
      </c>
      <c r="AB250" s="3">
        <v>0</v>
      </c>
      <c r="AC250" s="3">
        <v>0</v>
      </c>
      <c r="AD250" s="1">
        <v>51764</v>
      </c>
      <c r="AE250" s="1">
        <v>0</v>
      </c>
      <c r="AF250" s="1">
        <v>0</v>
      </c>
      <c r="AG250" s="1">
        <v>0</v>
      </c>
      <c r="AH250" s="1">
        <v>0</v>
      </c>
      <c r="AI250" s="1">
        <f>Table1[[#This Row],[NWS_pin]]*Table1[[#This Row],[Perc_pop_Northern_Aleppo]]</f>
        <v>0</v>
      </c>
      <c r="AJ250" s="1">
        <f>Table1[[#This Row],[NWS_pin]]*Table1[[#This Row],[Perc_pop_Afrin District]]</f>
        <v>0</v>
      </c>
      <c r="AK250" s="1">
        <f>Table1[[#This Row],[NWS_pin]]*Table1[[#This Row],[Perc_pop_Euphrates Shiled]]</f>
        <v>0</v>
      </c>
      <c r="AL250" s="1">
        <f>Table1[[#This Row],[NWS_pin]]*Table1[[#This Row],[Perc_Pop_Idleb_NSAG]]</f>
        <v>0</v>
      </c>
      <c r="AM250" s="4">
        <v>0.56356872104936595</v>
      </c>
      <c r="AN250" s="4">
        <v>0.43643127895063399</v>
      </c>
      <c r="AO250" s="4">
        <v>0.14086056714820799</v>
      </c>
      <c r="AP250" s="4">
        <v>0.49780726750470999</v>
      </c>
      <c r="AQ250" s="4">
        <v>0.47256186036946202</v>
      </c>
      <c r="AR250" s="4">
        <v>5.2780041373172697E-3</v>
      </c>
      <c r="AS250" s="4">
        <v>0</v>
      </c>
      <c r="AT250" s="4">
        <v>2.4352867988509899E-2</v>
      </c>
      <c r="AU250" s="4">
        <v>0.111185541869736</v>
      </c>
      <c r="AV250" s="4">
        <v>0.135154335082591</v>
      </c>
      <c r="AW250" s="4">
        <v>8.0234364015242796E-2</v>
      </c>
      <c r="AX250" s="4">
        <v>0.11131938991540299</v>
      </c>
      <c r="AY250" s="4">
        <v>0.110891259869286</v>
      </c>
      <c r="AZ250" s="4">
        <v>0.11187223915919001</v>
      </c>
      <c r="BA250" s="4">
        <v>9.9369888320460495E-2</v>
      </c>
      <c r="BB250" s="4">
        <v>8.8654681678789204E-2</v>
      </c>
      <c r="BC250" s="4">
        <v>0.113206557675017</v>
      </c>
      <c r="BD250" s="4">
        <v>7.3628263330781402E-2</v>
      </c>
      <c r="BE250" s="4">
        <v>7.3441190311078805E-2</v>
      </c>
      <c r="BF250" s="4">
        <v>7.3869832868854193E-2</v>
      </c>
      <c r="BG250" s="4">
        <v>7.8455476442423205E-2</v>
      </c>
      <c r="BH250" s="4">
        <v>5.8493149042366702E-2</v>
      </c>
      <c r="BI250" s="4">
        <v>0.104233058995783</v>
      </c>
      <c r="BJ250" s="4">
        <v>6.9769270499043801E-2</v>
      </c>
      <c r="BK250" s="4">
        <v>7.3143194827932495E-2</v>
      </c>
      <c r="BL250" s="4">
        <v>6.5412483278107295E-2</v>
      </c>
      <c r="BM250" s="4">
        <v>3.3719229677856899E-2</v>
      </c>
      <c r="BN250" s="4">
        <v>1.45785327119985E-2</v>
      </c>
      <c r="BO250" s="4">
        <v>5.8435831418637403E-2</v>
      </c>
      <c r="BP250" s="4">
        <v>0.104067274141729</v>
      </c>
      <c r="BQ250" s="4">
        <v>0.14224550905805999</v>
      </c>
      <c r="BR250" s="4">
        <v>5.4767281081075599E-2</v>
      </c>
      <c r="BS250" s="4">
        <v>7.4479232931147193E-2</v>
      </c>
      <c r="BT250" s="4">
        <v>6.5485337757797801E-2</v>
      </c>
      <c r="BU250" s="4">
        <v>8.6093153024784499E-2</v>
      </c>
      <c r="BV250" s="4">
        <v>3.8901601389292099E-2</v>
      </c>
      <c r="BW250" s="4">
        <v>4.1026103510334602E-2</v>
      </c>
      <c r="BX250" s="4">
        <v>3.6158207409599803E-2</v>
      </c>
      <c r="BY250" s="4">
        <v>3.7007729693343101E-2</v>
      </c>
      <c r="BZ250" s="4">
        <v>4.31536876699695E-2</v>
      </c>
      <c r="CA250" s="4">
        <v>2.9071383598171699E-2</v>
      </c>
      <c r="CB250" s="4">
        <v>4.0684958571143202E-2</v>
      </c>
      <c r="CC250" s="4">
        <v>3.57106844106483E-2</v>
      </c>
      <c r="CD250" s="4">
        <v>4.7108295902783301E-2</v>
      </c>
      <c r="CE250" s="4">
        <v>3.5388177254140403E-2</v>
      </c>
      <c r="CF250" s="4">
        <v>4.7912123248675699E-2</v>
      </c>
      <c r="CG250" s="4">
        <v>1.92158620076202E-2</v>
      </c>
      <c r="CH250" s="4">
        <v>3.4721073797881197E-2</v>
      </c>
      <c r="CI250" s="4">
        <v>3.0153437126601901E-2</v>
      </c>
      <c r="CJ250" s="4">
        <v>4.0619315471210601E-2</v>
      </c>
      <c r="CK250" s="4">
        <v>3.4463649506473903E-2</v>
      </c>
      <c r="CL250" s="4">
        <v>2.8720980438543198E-2</v>
      </c>
      <c r="CM250" s="4">
        <v>4.1879224003803901E-2</v>
      </c>
      <c r="CN250" s="4">
        <v>1.7246705687910899E-2</v>
      </c>
      <c r="CO250" s="4">
        <v>8.0819928169017508E-3</v>
      </c>
      <c r="CP250" s="4">
        <v>2.9081204635644401E-2</v>
      </c>
      <c r="CQ250" s="4">
        <v>5.5925369712333597E-3</v>
      </c>
      <c r="CR250" s="4">
        <v>3.1538004384248802E-3</v>
      </c>
      <c r="CS250" s="4">
        <v>8.7417054544728593E-3</v>
      </c>
      <c r="CT250" s="1">
        <f>Table1[[#This Row],[Female %]]*Table1[[#This Row],[NWS_pin]]</f>
        <v>0</v>
      </c>
      <c r="CU250" s="1">
        <f>Table1[[#This Row],[Male %]]*Table1[[#This Row],[NWS_pin]]</f>
        <v>0</v>
      </c>
      <c r="CV250" s="1">
        <f>Table1[[#This Row],[Female% (0-2)22]]+Table1[[#This Row],[Male%(0-2)3]]</f>
        <v>0</v>
      </c>
      <c r="CW250" s="1">
        <f>$CT250*Table1[[#This Row],[Female% (0-2)]]</f>
        <v>0</v>
      </c>
      <c r="CX250" s="1">
        <f>$CU250*Table1[[#This Row],[Male%(0-2)]]</f>
        <v>0</v>
      </c>
      <c r="CY250" s="1">
        <f>Table1[[#This Row],[Female%  (3-5)5]]+Table1[[#This Row],[Male% (3-5)6]]</f>
        <v>0</v>
      </c>
      <c r="CZ250" s="1">
        <f>$AF250*Table1[[#This Row],[Female%  (3-5)]]</f>
        <v>0</v>
      </c>
      <c r="DA250" s="1">
        <f>$CU250*Table1[[#This Row],[Male% (3-5)]]</f>
        <v>0</v>
      </c>
      <c r="DB250" s="1">
        <f>Table1[[#This Row],[Female% (6-8)8]]+Table1[[#This Row],[Male%(6-8)9]]</f>
        <v>0</v>
      </c>
      <c r="DC250" s="1">
        <f>$CT250*Table1[[#This Row],[Female% (6-8)]]</f>
        <v>0</v>
      </c>
      <c r="DD250" s="1">
        <f>$CU250*Table1[[#This Row],[Male%(6-8)]]</f>
        <v>0</v>
      </c>
      <c r="DE250" s="1">
        <f>Table1[[#This Row],[Female% (9 - 11)11]]+Table1[[#This Row],[Male% (9 - 11)12]]</f>
        <v>0</v>
      </c>
      <c r="DF250" s="1">
        <f>$CT250*Table1[[#This Row],[Female% (9 - 11)]]</f>
        <v>0</v>
      </c>
      <c r="DG250" s="1">
        <f>$CU250*Table1[[#This Row],[Male% (9 - 11)]]</f>
        <v>0</v>
      </c>
      <c r="DH250" s="1">
        <f>Table1[[#This Row],[Female% (12-14)14]]+Table1[[#This Row],[Male%(12-14)15]]</f>
        <v>0</v>
      </c>
      <c r="DI250" s="1">
        <f>$CT250*Table1[[#This Row],[Female% (12-14)]]</f>
        <v>0</v>
      </c>
      <c r="DJ250" s="1">
        <f>$CU250*Table1[[#This Row],[Male%(12-14)]]</f>
        <v>0</v>
      </c>
      <c r="DK250" s="1">
        <f>Table1[[#This Row],[Female% (15-17)17]]+Table1[[#This Row],[Male%(15-17)18]]</f>
        <v>0</v>
      </c>
      <c r="DL250" s="1">
        <f>$CT250*Table1[[#This Row],[Female% (15-17)]]</f>
        <v>0</v>
      </c>
      <c r="DM250" s="1">
        <f>$CU250*Table1[[#This Row],[Male%(15-17)]]</f>
        <v>0</v>
      </c>
      <c r="DN250" s="1">
        <f>$AF250*Table1[[#This Row],[Total% (18-19)]]</f>
        <v>0</v>
      </c>
      <c r="DO250" s="1">
        <f>$CT250*Table1[[#This Row],[Female% (18-19)]]</f>
        <v>0</v>
      </c>
      <c r="DP250" s="1">
        <f>$CU250*Table1[[#This Row],[Male%(18-19)]]</f>
        <v>0</v>
      </c>
      <c r="DQ250" s="1">
        <f>$AF250*Table1[[#This Row],[Total% (20-24)]]</f>
        <v>0</v>
      </c>
      <c r="DR250" s="1">
        <f>$CT250*Table1[[#This Row],[Female% (20-24)]]</f>
        <v>0</v>
      </c>
      <c r="DS250" s="1">
        <f>$CU250*Table1[[#This Row],[Male% (20-24)]]</f>
        <v>0</v>
      </c>
      <c r="DT250" s="1">
        <f>$AF250*Table1[[#This Row],[Total% (25-29)]]</f>
        <v>0</v>
      </c>
      <c r="DU250" s="1">
        <f>$CT250*Table1[[#This Row],[Female% (25-29)]]</f>
        <v>0</v>
      </c>
      <c r="DV250" s="1">
        <f>$CU250*Table1[[#This Row],[Male% (25-29)]]</f>
        <v>0</v>
      </c>
      <c r="DW250" s="1">
        <f>$AF250*Table1[[#This Row],[Total%   (30-34)]]</f>
        <v>0</v>
      </c>
      <c r="DX250" s="1">
        <f>$CT250*Table1[[#This Row],[Female%   (30-34)]]</f>
        <v>0</v>
      </c>
      <c r="DY250" s="1">
        <f>$CU250*Table1[[#This Row],[Male%  (30-34)]]</f>
        <v>0</v>
      </c>
      <c r="DZ250" s="1">
        <f>$AF250*Table1[[#This Row],[Total% (35-39)]]</f>
        <v>0</v>
      </c>
      <c r="EA250" s="1">
        <f>$CT250*Table1[[#This Row],[Female% (35-39)]]</f>
        <v>0</v>
      </c>
      <c r="EB250" s="1">
        <f>$CU250*Table1[[#This Row],[Male% (35-39)]]</f>
        <v>0</v>
      </c>
      <c r="EC250" s="1">
        <f>$AF250*Table1[[#This Row],[Total% (40-44)]]</f>
        <v>0</v>
      </c>
      <c r="ED250" s="1">
        <f>$CT250*Table1[[#This Row],[Female% (40-44)]]</f>
        <v>0</v>
      </c>
      <c r="EE250" s="1">
        <f>$CU250*Table1[[#This Row],[Male%(55-59)]]</f>
        <v>0</v>
      </c>
      <c r="EF250" s="1">
        <f>$AF250*Table1[[#This Row],[Total% (45-49)]]</f>
        <v>0</v>
      </c>
      <c r="EG250" s="1">
        <f>$CT250*Table1[[#This Row],[Female% (45-49)]]</f>
        <v>0</v>
      </c>
      <c r="EH250" s="1">
        <f>$CU250*Table1[[#This Row],[Male% (45-49)]]</f>
        <v>0</v>
      </c>
      <c r="EI250" s="1">
        <f>$AF250*Table1[[#This Row],[Total% (50-54)]]</f>
        <v>0</v>
      </c>
      <c r="EJ250" s="1">
        <f>$CT250*Table1[[#This Row],[Female%(50-54)]]</f>
        <v>0</v>
      </c>
      <c r="EK250" s="1">
        <f>$CU250*Table1[[#This Row],[Male% (50-54)]]</f>
        <v>0</v>
      </c>
      <c r="EL250" s="1">
        <f>$AF250*Table1[[#This Row],[Total% (55-59)]]</f>
        <v>0</v>
      </c>
      <c r="EM250" s="1">
        <f>$CT250*Table1[[#This Row],[Female% (55-59)]]</f>
        <v>0</v>
      </c>
      <c r="EN250" s="1">
        <f>$CU250*Table1[[#This Row],[Male% (55-59)]]</f>
        <v>0</v>
      </c>
      <c r="EO250" s="1">
        <f>$AF250*Table1[[#This Row],[Total% (60-64)]]</f>
        <v>0</v>
      </c>
      <c r="EP250" s="1">
        <f>$CT250*Table1[[#This Row],[Female%(60-64)]]</f>
        <v>0</v>
      </c>
      <c r="EQ250" s="1">
        <f>$CU250*Table1[[#This Row],[Male%(60-64)]]</f>
        <v>0</v>
      </c>
      <c r="ER250" s="1">
        <f>$AF250*Table1[[#This Row],[Total% (&gt;=65)]]</f>
        <v>0</v>
      </c>
      <c r="ES250" s="1">
        <f>$CT250*Table1[[#This Row],[Female%(&gt;=65)]]</f>
        <v>0</v>
      </c>
      <c r="ET250" s="1">
        <f>$CU250*Table1[[#This Row],[Male% (&gt;=65)]]</f>
        <v>0</v>
      </c>
    </row>
    <row r="251" spans="1:150" hidden="1" x14ac:dyDescent="0.35">
      <c r="A251" t="s">
        <v>28</v>
      </c>
      <c r="B251" t="s">
        <v>29</v>
      </c>
      <c r="C251" t="s">
        <v>30</v>
      </c>
      <c r="D251" t="s">
        <v>31</v>
      </c>
      <c r="E251" t="s">
        <v>30</v>
      </c>
      <c r="F251" t="s">
        <v>217</v>
      </c>
      <c r="H251">
        <v>4</v>
      </c>
      <c r="I251" s="1">
        <v>0</v>
      </c>
      <c r="J251" s="1">
        <v>18266</v>
      </c>
      <c r="K251" s="1">
        <v>24809</v>
      </c>
      <c r="L251" s="1">
        <v>22723</v>
      </c>
      <c r="M251" s="1">
        <v>0</v>
      </c>
      <c r="N251" s="1">
        <v>47532</v>
      </c>
      <c r="O251" s="3">
        <v>1</v>
      </c>
      <c r="P251" s="3">
        <v>0</v>
      </c>
      <c r="Q251" s="3">
        <v>0</v>
      </c>
      <c r="R251" s="3">
        <v>0</v>
      </c>
      <c r="S251" s="3">
        <v>0</v>
      </c>
      <c r="T251" s="1">
        <v>65798</v>
      </c>
      <c r="U251" s="1">
        <v>0</v>
      </c>
      <c r="V251" s="10">
        <f>Table1[[#This Row],[Pop NW+RATAA]]*Table1[[#This Row],[Perc_pop_Northern_Aleppo]]</f>
        <v>0</v>
      </c>
      <c r="W251" s="10">
        <f>Table1[[#This Row],[Pop NW+RATAA]]*Table1[[#This Row],[Perc_pop_Afrin District]]</f>
        <v>0</v>
      </c>
      <c r="X251" s="10">
        <f>Table1[[#This Row],[Pop NW+RATAA]]*Table1[[#This Row],[Perc_pop_Euphrates Shiled]]</f>
        <v>0</v>
      </c>
      <c r="Y251" s="10">
        <f>Table1[[#This Row],[Pop NW+RATAA]]*Table1[[#This Row],[Perc_Pop_Idleb_NSAG]]</f>
        <v>0</v>
      </c>
      <c r="Z251" s="3">
        <v>0</v>
      </c>
      <c r="AA251" s="3">
        <v>0</v>
      </c>
      <c r="AB251" s="3">
        <v>0</v>
      </c>
      <c r="AC251" s="3">
        <v>0</v>
      </c>
      <c r="AD251" s="1">
        <v>47532</v>
      </c>
      <c r="AE251" s="1">
        <v>0</v>
      </c>
      <c r="AF251" s="1">
        <v>0</v>
      </c>
      <c r="AG251" s="1">
        <v>0</v>
      </c>
      <c r="AH251" s="1">
        <v>0</v>
      </c>
      <c r="AI251" s="1">
        <f>Table1[[#This Row],[NWS_pin]]*Table1[[#This Row],[Perc_pop_Northern_Aleppo]]</f>
        <v>0</v>
      </c>
      <c r="AJ251" s="1">
        <f>Table1[[#This Row],[NWS_pin]]*Table1[[#This Row],[Perc_pop_Afrin District]]</f>
        <v>0</v>
      </c>
      <c r="AK251" s="1">
        <f>Table1[[#This Row],[NWS_pin]]*Table1[[#This Row],[Perc_pop_Euphrates Shiled]]</f>
        <v>0</v>
      </c>
      <c r="AL251" s="1">
        <f>Table1[[#This Row],[NWS_pin]]*Table1[[#This Row],[Perc_Pop_Idleb_NSAG]]</f>
        <v>0</v>
      </c>
      <c r="AM251" s="4">
        <v>0.534430358479831</v>
      </c>
      <c r="AN251" s="4">
        <v>0.465569641520169</v>
      </c>
      <c r="AO251" s="4">
        <v>6.83985674085444E-2</v>
      </c>
      <c r="AP251" s="4">
        <v>0.49746109111204001</v>
      </c>
      <c r="AQ251" s="4">
        <v>0.48082948646245899</v>
      </c>
      <c r="AR251" s="4">
        <v>3.6298909167028202E-3</v>
      </c>
      <c r="AS251" s="4">
        <v>0</v>
      </c>
      <c r="AT251" s="4">
        <v>1.80795315087981E-2</v>
      </c>
      <c r="AU251" s="4">
        <v>8.3503662121359096E-2</v>
      </c>
      <c r="AV251" s="4">
        <v>7.8794444766611196E-2</v>
      </c>
      <c r="AW251" s="4">
        <v>8.89094027337404E-2</v>
      </c>
      <c r="AX251" s="4">
        <v>0.130598009759374</v>
      </c>
      <c r="AY251" s="4">
        <v>0.15838077617944299</v>
      </c>
      <c r="AZ251" s="4">
        <v>9.8705995131965096E-2</v>
      </c>
      <c r="BA251" s="4">
        <v>0.102260111534954</v>
      </c>
      <c r="BB251" s="4">
        <v>9.63052648537982E-2</v>
      </c>
      <c r="BC251" s="4">
        <v>0.10909571798925601</v>
      </c>
      <c r="BD251" s="4">
        <v>7.4564856170030502E-2</v>
      </c>
      <c r="BE251" s="4">
        <v>7.3648161871933807E-2</v>
      </c>
      <c r="BF251" s="4">
        <v>7.5617135396718493E-2</v>
      </c>
      <c r="BG251" s="4">
        <v>7.1216076281568799E-2</v>
      </c>
      <c r="BH251" s="4">
        <v>6.5619023537578702E-2</v>
      </c>
      <c r="BI251" s="4">
        <v>7.7640968795252202E-2</v>
      </c>
      <c r="BJ251" s="4">
        <v>7.3282962446853797E-2</v>
      </c>
      <c r="BK251" s="4">
        <v>6.97570995396051E-2</v>
      </c>
      <c r="BL251" s="4">
        <v>7.7330322947678096E-2</v>
      </c>
      <c r="BM251" s="4">
        <v>4.4517973972742701E-2</v>
      </c>
      <c r="BN251" s="4">
        <v>3.6207241492888301E-2</v>
      </c>
      <c r="BO251" s="4">
        <v>5.40579167489431E-2</v>
      </c>
      <c r="BP251" s="4">
        <v>5.88527821304759E-2</v>
      </c>
      <c r="BQ251" s="4">
        <v>7.1331680169312406E-2</v>
      </c>
      <c r="BR251" s="4">
        <v>4.4528175546264703E-2</v>
      </c>
      <c r="BS251" s="4">
        <v>7.2462009761769502E-2</v>
      </c>
      <c r="BT251" s="4">
        <v>9.0282767307685502E-2</v>
      </c>
      <c r="BU251" s="4">
        <v>5.2005448606818203E-2</v>
      </c>
      <c r="BV251" s="4">
        <v>5.7381508742451001E-2</v>
      </c>
      <c r="BW251" s="4">
        <v>6.97638932087844E-2</v>
      </c>
      <c r="BX251" s="4">
        <v>4.3167690703177199E-2</v>
      </c>
      <c r="BY251" s="4">
        <v>6.2263898253588197E-2</v>
      </c>
      <c r="BZ251" s="4">
        <v>4.7291640487604203E-2</v>
      </c>
      <c r="CA251" s="4">
        <v>7.9450648358256701E-2</v>
      </c>
      <c r="CB251" s="4">
        <v>6.5448166121835294E-2</v>
      </c>
      <c r="CC251" s="4">
        <v>6.6652791026007893E-2</v>
      </c>
      <c r="CD251" s="4">
        <v>6.4065369517510698E-2</v>
      </c>
      <c r="CE251" s="4">
        <v>3.3583132665200702E-2</v>
      </c>
      <c r="CF251" s="4">
        <v>2.8854439812777102E-2</v>
      </c>
      <c r="CG251" s="4">
        <v>3.9011229325477202E-2</v>
      </c>
      <c r="CH251" s="4">
        <v>3.66311713590219E-2</v>
      </c>
      <c r="CI251" s="4">
        <v>4.2401650766753098E-2</v>
      </c>
      <c r="CJ251" s="4">
        <v>3.0007201272818099E-2</v>
      </c>
      <c r="CK251" s="4">
        <v>3.0661053444487399E-2</v>
      </c>
      <c r="CL251" s="4">
        <v>0</v>
      </c>
      <c r="CM251" s="4">
        <v>6.5857072089953103E-2</v>
      </c>
      <c r="CN251" s="4">
        <v>2.5592588351783799E-4</v>
      </c>
      <c r="CO251" s="4">
        <v>0</v>
      </c>
      <c r="CP251" s="4">
        <v>5.4970483617057596E-4</v>
      </c>
      <c r="CQ251" s="4">
        <v>2.5166993507694602E-3</v>
      </c>
      <c r="CR251" s="4">
        <v>4.7091249792173499E-3</v>
      </c>
      <c r="CS251" s="4">
        <v>0</v>
      </c>
      <c r="CT251" s="1">
        <f>Table1[[#This Row],[Female %]]*Table1[[#This Row],[NWS_pin]]</f>
        <v>0</v>
      </c>
      <c r="CU251" s="1">
        <f>Table1[[#This Row],[Male %]]*Table1[[#This Row],[NWS_pin]]</f>
        <v>0</v>
      </c>
      <c r="CV251" s="1">
        <f>Table1[[#This Row],[Female% (0-2)22]]+Table1[[#This Row],[Male%(0-2)3]]</f>
        <v>0</v>
      </c>
      <c r="CW251" s="1">
        <f>$CT251*Table1[[#This Row],[Female% (0-2)]]</f>
        <v>0</v>
      </c>
      <c r="CX251" s="1">
        <f>$CU251*Table1[[#This Row],[Male%(0-2)]]</f>
        <v>0</v>
      </c>
      <c r="CY251" s="1">
        <f>Table1[[#This Row],[Female%  (3-5)5]]+Table1[[#This Row],[Male% (3-5)6]]</f>
        <v>0</v>
      </c>
      <c r="CZ251" s="1">
        <f>$AF251*Table1[[#This Row],[Female%  (3-5)]]</f>
        <v>0</v>
      </c>
      <c r="DA251" s="1">
        <f>$CU251*Table1[[#This Row],[Male% (3-5)]]</f>
        <v>0</v>
      </c>
      <c r="DB251" s="1">
        <f>Table1[[#This Row],[Female% (6-8)8]]+Table1[[#This Row],[Male%(6-8)9]]</f>
        <v>0</v>
      </c>
      <c r="DC251" s="1">
        <f>$CT251*Table1[[#This Row],[Female% (6-8)]]</f>
        <v>0</v>
      </c>
      <c r="DD251" s="1">
        <f>$CU251*Table1[[#This Row],[Male%(6-8)]]</f>
        <v>0</v>
      </c>
      <c r="DE251" s="1">
        <f>Table1[[#This Row],[Female% (9 - 11)11]]+Table1[[#This Row],[Male% (9 - 11)12]]</f>
        <v>0</v>
      </c>
      <c r="DF251" s="1">
        <f>$CT251*Table1[[#This Row],[Female% (9 - 11)]]</f>
        <v>0</v>
      </c>
      <c r="DG251" s="1">
        <f>$CU251*Table1[[#This Row],[Male% (9 - 11)]]</f>
        <v>0</v>
      </c>
      <c r="DH251" s="1">
        <f>Table1[[#This Row],[Female% (12-14)14]]+Table1[[#This Row],[Male%(12-14)15]]</f>
        <v>0</v>
      </c>
      <c r="DI251" s="1">
        <f>$CT251*Table1[[#This Row],[Female% (12-14)]]</f>
        <v>0</v>
      </c>
      <c r="DJ251" s="1">
        <f>$CU251*Table1[[#This Row],[Male%(12-14)]]</f>
        <v>0</v>
      </c>
      <c r="DK251" s="1">
        <f>Table1[[#This Row],[Female% (15-17)17]]+Table1[[#This Row],[Male%(15-17)18]]</f>
        <v>0</v>
      </c>
      <c r="DL251" s="1">
        <f>$CT251*Table1[[#This Row],[Female% (15-17)]]</f>
        <v>0</v>
      </c>
      <c r="DM251" s="1">
        <f>$CU251*Table1[[#This Row],[Male%(15-17)]]</f>
        <v>0</v>
      </c>
      <c r="DN251" s="1">
        <f>$AF251*Table1[[#This Row],[Total% (18-19)]]</f>
        <v>0</v>
      </c>
      <c r="DO251" s="1">
        <f>$CT251*Table1[[#This Row],[Female% (18-19)]]</f>
        <v>0</v>
      </c>
      <c r="DP251" s="1">
        <f>$CU251*Table1[[#This Row],[Male%(18-19)]]</f>
        <v>0</v>
      </c>
      <c r="DQ251" s="1">
        <f>$AF251*Table1[[#This Row],[Total% (20-24)]]</f>
        <v>0</v>
      </c>
      <c r="DR251" s="1">
        <f>$CT251*Table1[[#This Row],[Female% (20-24)]]</f>
        <v>0</v>
      </c>
      <c r="DS251" s="1">
        <f>$CU251*Table1[[#This Row],[Male% (20-24)]]</f>
        <v>0</v>
      </c>
      <c r="DT251" s="1">
        <f>$AF251*Table1[[#This Row],[Total% (25-29)]]</f>
        <v>0</v>
      </c>
      <c r="DU251" s="1">
        <f>$CT251*Table1[[#This Row],[Female% (25-29)]]</f>
        <v>0</v>
      </c>
      <c r="DV251" s="1">
        <f>$CU251*Table1[[#This Row],[Male% (25-29)]]</f>
        <v>0</v>
      </c>
      <c r="DW251" s="1">
        <f>$AF251*Table1[[#This Row],[Total%   (30-34)]]</f>
        <v>0</v>
      </c>
      <c r="DX251" s="1">
        <f>$CT251*Table1[[#This Row],[Female%   (30-34)]]</f>
        <v>0</v>
      </c>
      <c r="DY251" s="1">
        <f>$CU251*Table1[[#This Row],[Male%  (30-34)]]</f>
        <v>0</v>
      </c>
      <c r="DZ251" s="1">
        <f>$AF251*Table1[[#This Row],[Total% (35-39)]]</f>
        <v>0</v>
      </c>
      <c r="EA251" s="1">
        <f>$CT251*Table1[[#This Row],[Female% (35-39)]]</f>
        <v>0</v>
      </c>
      <c r="EB251" s="1">
        <f>$CU251*Table1[[#This Row],[Male% (35-39)]]</f>
        <v>0</v>
      </c>
      <c r="EC251" s="1">
        <f>$AF251*Table1[[#This Row],[Total% (40-44)]]</f>
        <v>0</v>
      </c>
      <c r="ED251" s="1">
        <f>$CT251*Table1[[#This Row],[Female% (40-44)]]</f>
        <v>0</v>
      </c>
      <c r="EE251" s="1">
        <f>$CU251*Table1[[#This Row],[Male%(55-59)]]</f>
        <v>0</v>
      </c>
      <c r="EF251" s="1">
        <f>$AF251*Table1[[#This Row],[Total% (45-49)]]</f>
        <v>0</v>
      </c>
      <c r="EG251" s="1">
        <f>$CT251*Table1[[#This Row],[Female% (45-49)]]</f>
        <v>0</v>
      </c>
      <c r="EH251" s="1">
        <f>$CU251*Table1[[#This Row],[Male% (45-49)]]</f>
        <v>0</v>
      </c>
      <c r="EI251" s="1">
        <f>$AF251*Table1[[#This Row],[Total% (50-54)]]</f>
        <v>0</v>
      </c>
      <c r="EJ251" s="1">
        <f>$CT251*Table1[[#This Row],[Female%(50-54)]]</f>
        <v>0</v>
      </c>
      <c r="EK251" s="1">
        <f>$CU251*Table1[[#This Row],[Male% (50-54)]]</f>
        <v>0</v>
      </c>
      <c r="EL251" s="1">
        <f>$AF251*Table1[[#This Row],[Total% (55-59)]]</f>
        <v>0</v>
      </c>
      <c r="EM251" s="1">
        <f>$CT251*Table1[[#This Row],[Female% (55-59)]]</f>
        <v>0</v>
      </c>
      <c r="EN251" s="1">
        <f>$CU251*Table1[[#This Row],[Male% (55-59)]]</f>
        <v>0</v>
      </c>
      <c r="EO251" s="1">
        <f>$AF251*Table1[[#This Row],[Total% (60-64)]]</f>
        <v>0</v>
      </c>
      <c r="EP251" s="1">
        <f>$CT251*Table1[[#This Row],[Female%(60-64)]]</f>
        <v>0</v>
      </c>
      <c r="EQ251" s="1">
        <f>$CU251*Table1[[#This Row],[Male%(60-64)]]</f>
        <v>0</v>
      </c>
      <c r="ER251" s="1">
        <f>$AF251*Table1[[#This Row],[Total% (&gt;=65)]]</f>
        <v>0</v>
      </c>
      <c r="ES251" s="1">
        <f>$CT251*Table1[[#This Row],[Female%(&gt;=65)]]</f>
        <v>0</v>
      </c>
      <c r="ET251" s="1">
        <f>$CU251*Table1[[#This Row],[Male% (&gt;=65)]]</f>
        <v>0</v>
      </c>
    </row>
    <row r="252" spans="1:150" hidden="1" x14ac:dyDescent="0.35">
      <c r="A252" t="s">
        <v>28</v>
      </c>
      <c r="B252" t="s">
        <v>29</v>
      </c>
      <c r="C252" t="s">
        <v>30</v>
      </c>
      <c r="D252" t="s">
        <v>31</v>
      </c>
      <c r="E252" t="s">
        <v>97</v>
      </c>
      <c r="F252" t="s">
        <v>98</v>
      </c>
      <c r="H252">
        <v>2</v>
      </c>
      <c r="I252" s="1">
        <v>0</v>
      </c>
      <c r="J252" s="1">
        <v>29430</v>
      </c>
      <c r="K252" s="1">
        <v>8229</v>
      </c>
      <c r="L252" s="1">
        <v>0</v>
      </c>
      <c r="M252" s="1">
        <v>0</v>
      </c>
      <c r="N252" s="1">
        <v>8229</v>
      </c>
      <c r="O252" s="3">
        <v>1</v>
      </c>
      <c r="P252" s="3">
        <v>0</v>
      </c>
      <c r="Q252" s="3">
        <v>0</v>
      </c>
      <c r="R252" s="3">
        <v>0</v>
      </c>
      <c r="S252" s="3">
        <v>0</v>
      </c>
      <c r="T252" s="1">
        <v>37659</v>
      </c>
      <c r="U252" s="1">
        <v>0</v>
      </c>
      <c r="V252" s="10">
        <f>Table1[[#This Row],[Pop NW+RATAA]]*Table1[[#This Row],[Perc_pop_Northern_Aleppo]]</f>
        <v>0</v>
      </c>
      <c r="W252" s="10">
        <f>Table1[[#This Row],[Pop NW+RATAA]]*Table1[[#This Row],[Perc_pop_Afrin District]]</f>
        <v>0</v>
      </c>
      <c r="X252" s="10">
        <f>Table1[[#This Row],[Pop NW+RATAA]]*Table1[[#This Row],[Perc_pop_Euphrates Shiled]]</f>
        <v>0</v>
      </c>
      <c r="Y252" s="10">
        <f>Table1[[#This Row],[Pop NW+RATAA]]*Table1[[#This Row],[Perc_Pop_Idleb_NSAG]]</f>
        <v>0</v>
      </c>
      <c r="Z252" s="3">
        <v>0</v>
      </c>
      <c r="AA252" s="3">
        <v>0</v>
      </c>
      <c r="AB252" s="3">
        <v>0</v>
      </c>
      <c r="AC252" s="3">
        <v>0</v>
      </c>
      <c r="AD252" s="1">
        <v>8229</v>
      </c>
      <c r="AE252" s="1">
        <v>0</v>
      </c>
      <c r="AF252" s="1">
        <v>0</v>
      </c>
      <c r="AG252" s="1">
        <v>0</v>
      </c>
      <c r="AH252" s="1">
        <v>0</v>
      </c>
      <c r="AI252" s="1">
        <f>Table1[[#This Row],[NWS_pin]]*Table1[[#This Row],[Perc_pop_Northern_Aleppo]]</f>
        <v>0</v>
      </c>
      <c r="AJ252" s="1">
        <f>Table1[[#This Row],[NWS_pin]]*Table1[[#This Row],[Perc_pop_Afrin District]]</f>
        <v>0</v>
      </c>
      <c r="AK252" s="1">
        <f>Table1[[#This Row],[NWS_pin]]*Table1[[#This Row],[Perc_pop_Euphrates Shiled]]</f>
        <v>0</v>
      </c>
      <c r="AL252" s="1">
        <f>Table1[[#This Row],[NWS_pin]]*Table1[[#This Row],[Perc_Pop_Idleb_NSAG]]</f>
        <v>0</v>
      </c>
      <c r="AM252" s="4">
        <v>0.48720663873564601</v>
      </c>
      <c r="AN252" s="4">
        <v>0.51279336126435404</v>
      </c>
      <c r="AO252" s="4">
        <v>0.158102254967627</v>
      </c>
      <c r="AP252" s="4">
        <v>0.47620095469131102</v>
      </c>
      <c r="AQ252" s="4">
        <v>0.485725506756367</v>
      </c>
      <c r="AR252" s="4">
        <v>1.18377659323603E-2</v>
      </c>
      <c r="AS252" s="4">
        <v>0</v>
      </c>
      <c r="AT252" s="4">
        <v>2.6235772619961899E-2</v>
      </c>
      <c r="AU252" s="4">
        <v>5.2958054971446303E-2</v>
      </c>
      <c r="AV252" s="4">
        <v>5.6864302746347302E-2</v>
      </c>
      <c r="AW252" s="4">
        <v>4.9246716268102599E-2</v>
      </c>
      <c r="AX252" s="4">
        <v>7.98155434659861E-2</v>
      </c>
      <c r="AY252" s="4">
        <v>8.4422849315573797E-2</v>
      </c>
      <c r="AZ252" s="4">
        <v>7.5438127207963404E-2</v>
      </c>
      <c r="BA252" s="4">
        <v>0.100172491569367</v>
      </c>
      <c r="BB252" s="4">
        <v>9.8426796513844297E-2</v>
      </c>
      <c r="BC252" s="4">
        <v>0.101831082113834</v>
      </c>
      <c r="BD252" s="4">
        <v>9.7721214930625105E-2</v>
      </c>
      <c r="BE252" s="4">
        <v>6.05851829734202E-2</v>
      </c>
      <c r="BF252" s="4">
        <v>0.13300427955774699</v>
      </c>
      <c r="BG252" s="4">
        <v>8.1206829764116403E-2</v>
      </c>
      <c r="BH252" s="4">
        <v>8.2688185133020495E-2</v>
      </c>
      <c r="BI252" s="4">
        <v>7.9799389214813596E-2</v>
      </c>
      <c r="BJ252" s="4">
        <v>7.6833252954519995E-2</v>
      </c>
      <c r="BK252" s="4">
        <v>6.4310245008940101E-2</v>
      </c>
      <c r="BL252" s="4">
        <v>8.8731403494110198E-2</v>
      </c>
      <c r="BM252" s="4">
        <v>3.8155194350572401E-2</v>
      </c>
      <c r="BN252" s="4">
        <v>3.6968008736476897E-2</v>
      </c>
      <c r="BO252" s="4">
        <v>3.9283143259997898E-2</v>
      </c>
      <c r="BP252" s="4">
        <v>5.5738590162869597E-2</v>
      </c>
      <c r="BQ252" s="4">
        <v>4.63732890952804E-2</v>
      </c>
      <c r="BR252" s="4">
        <v>6.4636593137473802E-2</v>
      </c>
      <c r="BS252" s="4">
        <v>6.13808955334601E-2</v>
      </c>
      <c r="BT252" s="4">
        <v>8.4643341420784099E-2</v>
      </c>
      <c r="BU252" s="4">
        <v>3.9279170110204598E-2</v>
      </c>
      <c r="BV252" s="4">
        <v>5.9884221422719798E-2</v>
      </c>
      <c r="BW252" s="4">
        <v>7.6323794354244107E-2</v>
      </c>
      <c r="BX252" s="4">
        <v>4.4264929764050297E-2</v>
      </c>
      <c r="BY252" s="4">
        <v>5.9780871014947098E-2</v>
      </c>
      <c r="BZ252" s="4">
        <v>7.5242242870427606E-2</v>
      </c>
      <c r="CA252" s="4">
        <v>4.5090971377055297E-2</v>
      </c>
      <c r="CB252" s="4">
        <v>2.7704665805094002E-2</v>
      </c>
      <c r="CC252" s="4">
        <v>9.6215906555667408E-3</v>
      </c>
      <c r="CD252" s="4">
        <v>4.48854542612524E-2</v>
      </c>
      <c r="CE252" s="4">
        <v>3.7727530885620697E-2</v>
      </c>
      <c r="CF252" s="4">
        <v>5.0526789915879902E-2</v>
      </c>
      <c r="CG252" s="4">
        <v>2.5566913292865399E-2</v>
      </c>
      <c r="CH252" s="4">
        <v>5.2429078503559198E-2</v>
      </c>
      <c r="CI252" s="4">
        <v>7.9832546093000695E-2</v>
      </c>
      <c r="CJ252" s="4">
        <v>2.63929549058705E-2</v>
      </c>
      <c r="CK252" s="4">
        <v>5.2427041098721899E-2</v>
      </c>
      <c r="CL252" s="4">
        <v>5.5553895540426501E-2</v>
      </c>
      <c r="CM252" s="4">
        <v>4.9456206533698803E-2</v>
      </c>
      <c r="CN252" s="4">
        <v>2.9410078136216902E-2</v>
      </c>
      <c r="CO252" s="4">
        <v>9.6215906555667408E-3</v>
      </c>
      <c r="CP252" s="4">
        <v>4.8211184389501303E-2</v>
      </c>
      <c r="CQ252" s="4">
        <v>3.6654445430157501E-2</v>
      </c>
      <c r="CR252" s="4">
        <v>2.7995348971200099E-2</v>
      </c>
      <c r="CS252" s="4">
        <v>4.48814811114591E-2</v>
      </c>
      <c r="CT252" s="1">
        <f>Table1[[#This Row],[Female %]]*Table1[[#This Row],[NWS_pin]]</f>
        <v>0</v>
      </c>
      <c r="CU252" s="1">
        <f>Table1[[#This Row],[Male %]]*Table1[[#This Row],[NWS_pin]]</f>
        <v>0</v>
      </c>
      <c r="CV252" s="1">
        <f>Table1[[#This Row],[Female% (0-2)22]]+Table1[[#This Row],[Male%(0-2)3]]</f>
        <v>0</v>
      </c>
      <c r="CW252" s="1">
        <f>$CT252*Table1[[#This Row],[Female% (0-2)]]</f>
        <v>0</v>
      </c>
      <c r="CX252" s="1">
        <f>$CU252*Table1[[#This Row],[Male%(0-2)]]</f>
        <v>0</v>
      </c>
      <c r="CY252" s="1">
        <f>Table1[[#This Row],[Female%  (3-5)5]]+Table1[[#This Row],[Male% (3-5)6]]</f>
        <v>0</v>
      </c>
      <c r="CZ252" s="1">
        <f>$AF252*Table1[[#This Row],[Female%  (3-5)]]</f>
        <v>0</v>
      </c>
      <c r="DA252" s="1">
        <f>$CU252*Table1[[#This Row],[Male% (3-5)]]</f>
        <v>0</v>
      </c>
      <c r="DB252" s="1">
        <f>Table1[[#This Row],[Female% (6-8)8]]+Table1[[#This Row],[Male%(6-8)9]]</f>
        <v>0</v>
      </c>
      <c r="DC252" s="1">
        <f>$CT252*Table1[[#This Row],[Female% (6-8)]]</f>
        <v>0</v>
      </c>
      <c r="DD252" s="1">
        <f>$CU252*Table1[[#This Row],[Male%(6-8)]]</f>
        <v>0</v>
      </c>
      <c r="DE252" s="1">
        <f>Table1[[#This Row],[Female% (9 - 11)11]]+Table1[[#This Row],[Male% (9 - 11)12]]</f>
        <v>0</v>
      </c>
      <c r="DF252" s="1">
        <f>$CT252*Table1[[#This Row],[Female% (9 - 11)]]</f>
        <v>0</v>
      </c>
      <c r="DG252" s="1">
        <f>$CU252*Table1[[#This Row],[Male% (9 - 11)]]</f>
        <v>0</v>
      </c>
      <c r="DH252" s="1">
        <f>Table1[[#This Row],[Female% (12-14)14]]+Table1[[#This Row],[Male%(12-14)15]]</f>
        <v>0</v>
      </c>
      <c r="DI252" s="1">
        <f>$CT252*Table1[[#This Row],[Female% (12-14)]]</f>
        <v>0</v>
      </c>
      <c r="DJ252" s="1">
        <f>$CU252*Table1[[#This Row],[Male%(12-14)]]</f>
        <v>0</v>
      </c>
      <c r="DK252" s="1">
        <f>Table1[[#This Row],[Female% (15-17)17]]+Table1[[#This Row],[Male%(15-17)18]]</f>
        <v>0</v>
      </c>
      <c r="DL252" s="1">
        <f>$CT252*Table1[[#This Row],[Female% (15-17)]]</f>
        <v>0</v>
      </c>
      <c r="DM252" s="1">
        <f>$CU252*Table1[[#This Row],[Male%(15-17)]]</f>
        <v>0</v>
      </c>
      <c r="DN252" s="1">
        <f>$AF252*Table1[[#This Row],[Total% (18-19)]]</f>
        <v>0</v>
      </c>
      <c r="DO252" s="1">
        <f>$CT252*Table1[[#This Row],[Female% (18-19)]]</f>
        <v>0</v>
      </c>
      <c r="DP252" s="1">
        <f>$CU252*Table1[[#This Row],[Male%(18-19)]]</f>
        <v>0</v>
      </c>
      <c r="DQ252" s="1">
        <f>$AF252*Table1[[#This Row],[Total% (20-24)]]</f>
        <v>0</v>
      </c>
      <c r="DR252" s="1">
        <f>$CT252*Table1[[#This Row],[Female% (20-24)]]</f>
        <v>0</v>
      </c>
      <c r="DS252" s="1">
        <f>$CU252*Table1[[#This Row],[Male% (20-24)]]</f>
        <v>0</v>
      </c>
      <c r="DT252" s="1">
        <f>$AF252*Table1[[#This Row],[Total% (25-29)]]</f>
        <v>0</v>
      </c>
      <c r="DU252" s="1">
        <f>$CT252*Table1[[#This Row],[Female% (25-29)]]</f>
        <v>0</v>
      </c>
      <c r="DV252" s="1">
        <f>$CU252*Table1[[#This Row],[Male% (25-29)]]</f>
        <v>0</v>
      </c>
      <c r="DW252" s="1">
        <f>$AF252*Table1[[#This Row],[Total%   (30-34)]]</f>
        <v>0</v>
      </c>
      <c r="DX252" s="1">
        <f>$CT252*Table1[[#This Row],[Female%   (30-34)]]</f>
        <v>0</v>
      </c>
      <c r="DY252" s="1">
        <f>$CU252*Table1[[#This Row],[Male%  (30-34)]]</f>
        <v>0</v>
      </c>
      <c r="DZ252" s="1">
        <f>$AF252*Table1[[#This Row],[Total% (35-39)]]</f>
        <v>0</v>
      </c>
      <c r="EA252" s="1">
        <f>$CT252*Table1[[#This Row],[Female% (35-39)]]</f>
        <v>0</v>
      </c>
      <c r="EB252" s="1">
        <f>$CU252*Table1[[#This Row],[Male% (35-39)]]</f>
        <v>0</v>
      </c>
      <c r="EC252" s="1">
        <f>$AF252*Table1[[#This Row],[Total% (40-44)]]</f>
        <v>0</v>
      </c>
      <c r="ED252" s="1">
        <f>$CT252*Table1[[#This Row],[Female% (40-44)]]</f>
        <v>0</v>
      </c>
      <c r="EE252" s="1">
        <f>$CU252*Table1[[#This Row],[Male%(55-59)]]</f>
        <v>0</v>
      </c>
      <c r="EF252" s="1">
        <f>$AF252*Table1[[#This Row],[Total% (45-49)]]</f>
        <v>0</v>
      </c>
      <c r="EG252" s="1">
        <f>$CT252*Table1[[#This Row],[Female% (45-49)]]</f>
        <v>0</v>
      </c>
      <c r="EH252" s="1">
        <f>$CU252*Table1[[#This Row],[Male% (45-49)]]</f>
        <v>0</v>
      </c>
      <c r="EI252" s="1">
        <f>$AF252*Table1[[#This Row],[Total% (50-54)]]</f>
        <v>0</v>
      </c>
      <c r="EJ252" s="1">
        <f>$CT252*Table1[[#This Row],[Female%(50-54)]]</f>
        <v>0</v>
      </c>
      <c r="EK252" s="1">
        <f>$CU252*Table1[[#This Row],[Male% (50-54)]]</f>
        <v>0</v>
      </c>
      <c r="EL252" s="1">
        <f>$AF252*Table1[[#This Row],[Total% (55-59)]]</f>
        <v>0</v>
      </c>
      <c r="EM252" s="1">
        <f>$CT252*Table1[[#This Row],[Female% (55-59)]]</f>
        <v>0</v>
      </c>
      <c r="EN252" s="1">
        <f>$CU252*Table1[[#This Row],[Male% (55-59)]]</f>
        <v>0</v>
      </c>
      <c r="EO252" s="1">
        <f>$AF252*Table1[[#This Row],[Total% (60-64)]]</f>
        <v>0</v>
      </c>
      <c r="EP252" s="1">
        <f>$CT252*Table1[[#This Row],[Female%(60-64)]]</f>
        <v>0</v>
      </c>
      <c r="EQ252" s="1">
        <f>$CU252*Table1[[#This Row],[Male%(60-64)]]</f>
        <v>0</v>
      </c>
      <c r="ER252" s="1">
        <f>$AF252*Table1[[#This Row],[Total% (&gt;=65)]]</f>
        <v>0</v>
      </c>
      <c r="ES252" s="1">
        <f>$CT252*Table1[[#This Row],[Female%(&gt;=65)]]</f>
        <v>0</v>
      </c>
      <c r="ET252" s="1">
        <f>$CU252*Table1[[#This Row],[Male% (&gt;=65)]]</f>
        <v>0</v>
      </c>
    </row>
    <row r="253" spans="1:150" hidden="1" x14ac:dyDescent="0.35">
      <c r="A253" t="s">
        <v>28</v>
      </c>
      <c r="B253" t="s">
        <v>29</v>
      </c>
      <c r="C253" t="s">
        <v>30</v>
      </c>
      <c r="D253" t="s">
        <v>31</v>
      </c>
      <c r="E253" t="s">
        <v>32</v>
      </c>
      <c r="F253" t="s">
        <v>33</v>
      </c>
      <c r="H253">
        <v>2</v>
      </c>
      <c r="I253" s="1">
        <v>0</v>
      </c>
      <c r="J253" s="1">
        <v>44804</v>
      </c>
      <c r="K253" s="1">
        <v>1419</v>
      </c>
      <c r="L253" s="1">
        <v>0</v>
      </c>
      <c r="M253" s="1">
        <v>0</v>
      </c>
      <c r="N253" s="1">
        <v>1419</v>
      </c>
      <c r="O253" s="3">
        <v>1</v>
      </c>
      <c r="P253" s="3">
        <v>0</v>
      </c>
      <c r="Q253" s="3">
        <v>0</v>
      </c>
      <c r="R253" s="3">
        <v>0</v>
      </c>
      <c r="S253" s="3">
        <v>0</v>
      </c>
      <c r="T253" s="1">
        <v>46223</v>
      </c>
      <c r="U253" s="1">
        <v>0</v>
      </c>
      <c r="V253" s="10">
        <f>Table1[[#This Row],[Pop NW+RATAA]]*Table1[[#This Row],[Perc_pop_Northern_Aleppo]]</f>
        <v>0</v>
      </c>
      <c r="W253" s="10">
        <f>Table1[[#This Row],[Pop NW+RATAA]]*Table1[[#This Row],[Perc_pop_Afrin District]]</f>
        <v>0</v>
      </c>
      <c r="X253" s="10">
        <f>Table1[[#This Row],[Pop NW+RATAA]]*Table1[[#This Row],[Perc_pop_Euphrates Shiled]]</f>
        <v>0</v>
      </c>
      <c r="Y253" s="10">
        <f>Table1[[#This Row],[Pop NW+RATAA]]*Table1[[#This Row],[Perc_Pop_Idleb_NSAG]]</f>
        <v>0</v>
      </c>
      <c r="Z253" s="3">
        <v>0</v>
      </c>
      <c r="AA253" s="3">
        <v>0</v>
      </c>
      <c r="AB253" s="3">
        <v>0</v>
      </c>
      <c r="AC253" s="3">
        <v>0</v>
      </c>
      <c r="AD253" s="1">
        <v>1419</v>
      </c>
      <c r="AE253" s="1">
        <v>0</v>
      </c>
      <c r="AF253" s="1">
        <v>0</v>
      </c>
      <c r="AG253" s="1">
        <v>0</v>
      </c>
      <c r="AH253" s="1">
        <v>0</v>
      </c>
      <c r="AI253" s="1">
        <f>Table1[[#This Row],[NWS_pin]]*Table1[[#This Row],[Perc_pop_Northern_Aleppo]]</f>
        <v>0</v>
      </c>
      <c r="AJ253" s="1">
        <f>Table1[[#This Row],[NWS_pin]]*Table1[[#This Row],[Perc_pop_Afrin District]]</f>
        <v>0</v>
      </c>
      <c r="AK253" s="1">
        <f>Table1[[#This Row],[NWS_pin]]*Table1[[#This Row],[Perc_pop_Euphrates Shiled]]</f>
        <v>0</v>
      </c>
      <c r="AL253" s="1">
        <f>Table1[[#This Row],[NWS_pin]]*Table1[[#This Row],[Perc_Pop_Idleb_NSAG]]</f>
        <v>0</v>
      </c>
      <c r="AM253" s="4">
        <v>0.52734150208569497</v>
      </c>
      <c r="AN253" s="4">
        <v>0.47265849791430498</v>
      </c>
      <c r="AO253" s="4">
        <v>8.8095756877759293E-2</v>
      </c>
      <c r="AP253" s="4">
        <v>0.51480575464992895</v>
      </c>
      <c r="AQ253" s="4">
        <v>0.47954761114345701</v>
      </c>
      <c r="AR253" s="4">
        <v>0</v>
      </c>
      <c r="AS253" s="4">
        <v>0</v>
      </c>
      <c r="AT253" s="4">
        <v>5.6466342066133299E-3</v>
      </c>
      <c r="AU253" s="4">
        <v>6.0705264622310198E-2</v>
      </c>
      <c r="AV253" s="4">
        <v>8.6816132197021598E-2</v>
      </c>
      <c r="AW253" s="4">
        <v>3.1573567660616302E-2</v>
      </c>
      <c r="AX253" s="4">
        <v>6.7039536026074306E-2</v>
      </c>
      <c r="AY253" s="4">
        <v>6.4618973905269106E-2</v>
      </c>
      <c r="AZ253" s="4">
        <v>6.9740138829810602E-2</v>
      </c>
      <c r="BA253" s="4">
        <v>9.9977680533035601E-2</v>
      </c>
      <c r="BB253" s="4">
        <v>5.6817484396246301E-2</v>
      </c>
      <c r="BC253" s="4">
        <v>0.14813118409114601</v>
      </c>
      <c r="BD253" s="4">
        <v>9.9989393094655293E-2</v>
      </c>
      <c r="BE253" s="4">
        <v>0.105496633869832</v>
      </c>
      <c r="BF253" s="4">
        <v>9.3845006321658E-2</v>
      </c>
      <c r="BG253" s="4">
        <v>0.112801808381347</v>
      </c>
      <c r="BH253" s="4">
        <v>0.117071242103836</v>
      </c>
      <c r="BI253" s="4">
        <v>0.108038433551089</v>
      </c>
      <c r="BJ253" s="4">
        <v>9.3048376409956293E-2</v>
      </c>
      <c r="BK253" s="4">
        <v>0.12119352158037899</v>
      </c>
      <c r="BL253" s="4">
        <v>6.1647051360085497E-2</v>
      </c>
      <c r="BM253" s="4">
        <v>4.4561114572134602E-2</v>
      </c>
      <c r="BN253" s="4">
        <v>3.69785267212129E-2</v>
      </c>
      <c r="BO253" s="4">
        <v>5.3020950340763401E-2</v>
      </c>
      <c r="BP253" s="4">
        <v>2.83745631405352E-2</v>
      </c>
      <c r="BQ253" s="4">
        <v>3.5610642121154001E-2</v>
      </c>
      <c r="BR253" s="4">
        <v>2.0301324691023401E-2</v>
      </c>
      <c r="BS253" s="4">
        <v>4.1674361732184299E-2</v>
      </c>
      <c r="BT253" s="4">
        <v>6.3225847951445299E-2</v>
      </c>
      <c r="BU253" s="4">
        <v>1.7629531976251799E-2</v>
      </c>
      <c r="BV253" s="4">
        <v>7.0667680896578197E-2</v>
      </c>
      <c r="BW253" s="4">
        <v>8.9947722464846697E-2</v>
      </c>
      <c r="BX253" s="4">
        <v>4.9157084714028097E-2</v>
      </c>
      <c r="BY253" s="4">
        <v>9.5251638064956998E-2</v>
      </c>
      <c r="BZ253" s="4">
        <v>8.24270203987571E-2</v>
      </c>
      <c r="CA253" s="4">
        <v>0.10955996674964399</v>
      </c>
      <c r="CB253" s="4">
        <v>8.6880341083152901E-2</v>
      </c>
      <c r="CC253" s="4">
        <v>8.4763926450449695E-2</v>
      </c>
      <c r="CD253" s="4">
        <v>8.9241608840679207E-2</v>
      </c>
      <c r="CE253" s="4">
        <v>5.1498940716881297E-2</v>
      </c>
      <c r="CF253" s="4">
        <v>3.68361596053772E-2</v>
      </c>
      <c r="CG253" s="4">
        <v>6.7858094419215101E-2</v>
      </c>
      <c r="CH253" s="4">
        <v>2.63995115647114E-2</v>
      </c>
      <c r="CI253" s="4">
        <v>1.6901529057203001E-2</v>
      </c>
      <c r="CJ253" s="4">
        <v>3.69963386277916E-2</v>
      </c>
      <c r="CK253" s="4">
        <v>1.6577920356680199E-2</v>
      </c>
      <c r="CL253" s="4">
        <v>1.2946371769699001E-3</v>
      </c>
      <c r="CM253" s="4">
        <v>3.3629363511417799E-2</v>
      </c>
      <c r="CN253" s="4">
        <v>4.5518688048063298E-3</v>
      </c>
      <c r="CO253" s="4">
        <v>0</v>
      </c>
      <c r="CP253" s="4">
        <v>9.6303543147797203E-3</v>
      </c>
      <c r="CQ253" s="4">
        <v>0</v>
      </c>
      <c r="CR253" s="4">
        <v>0</v>
      </c>
      <c r="CS253" s="4">
        <v>0</v>
      </c>
      <c r="CT253" s="1">
        <f>Table1[[#This Row],[Female %]]*Table1[[#This Row],[NWS_pin]]</f>
        <v>0</v>
      </c>
      <c r="CU253" s="1">
        <f>Table1[[#This Row],[Male %]]*Table1[[#This Row],[NWS_pin]]</f>
        <v>0</v>
      </c>
      <c r="CV253" s="1">
        <f>Table1[[#This Row],[Female% (0-2)22]]+Table1[[#This Row],[Male%(0-2)3]]</f>
        <v>0</v>
      </c>
      <c r="CW253" s="1">
        <f>$CT253*Table1[[#This Row],[Female% (0-2)]]</f>
        <v>0</v>
      </c>
      <c r="CX253" s="1">
        <f>$CU253*Table1[[#This Row],[Male%(0-2)]]</f>
        <v>0</v>
      </c>
      <c r="CY253" s="1">
        <f>Table1[[#This Row],[Female%  (3-5)5]]+Table1[[#This Row],[Male% (3-5)6]]</f>
        <v>0</v>
      </c>
      <c r="CZ253" s="1">
        <f>$AF253*Table1[[#This Row],[Female%  (3-5)]]</f>
        <v>0</v>
      </c>
      <c r="DA253" s="1">
        <f>$CU253*Table1[[#This Row],[Male% (3-5)]]</f>
        <v>0</v>
      </c>
      <c r="DB253" s="1">
        <f>Table1[[#This Row],[Female% (6-8)8]]+Table1[[#This Row],[Male%(6-8)9]]</f>
        <v>0</v>
      </c>
      <c r="DC253" s="1">
        <f>$CT253*Table1[[#This Row],[Female% (6-8)]]</f>
        <v>0</v>
      </c>
      <c r="DD253" s="1">
        <f>$CU253*Table1[[#This Row],[Male%(6-8)]]</f>
        <v>0</v>
      </c>
      <c r="DE253" s="1">
        <f>Table1[[#This Row],[Female% (9 - 11)11]]+Table1[[#This Row],[Male% (9 - 11)12]]</f>
        <v>0</v>
      </c>
      <c r="DF253" s="1">
        <f>$CT253*Table1[[#This Row],[Female% (9 - 11)]]</f>
        <v>0</v>
      </c>
      <c r="DG253" s="1">
        <f>$CU253*Table1[[#This Row],[Male% (9 - 11)]]</f>
        <v>0</v>
      </c>
      <c r="DH253" s="1">
        <f>Table1[[#This Row],[Female% (12-14)14]]+Table1[[#This Row],[Male%(12-14)15]]</f>
        <v>0</v>
      </c>
      <c r="DI253" s="1">
        <f>$CT253*Table1[[#This Row],[Female% (12-14)]]</f>
        <v>0</v>
      </c>
      <c r="DJ253" s="1">
        <f>$CU253*Table1[[#This Row],[Male%(12-14)]]</f>
        <v>0</v>
      </c>
      <c r="DK253" s="1">
        <f>Table1[[#This Row],[Female% (15-17)17]]+Table1[[#This Row],[Male%(15-17)18]]</f>
        <v>0</v>
      </c>
      <c r="DL253" s="1">
        <f>$CT253*Table1[[#This Row],[Female% (15-17)]]</f>
        <v>0</v>
      </c>
      <c r="DM253" s="1">
        <f>$CU253*Table1[[#This Row],[Male%(15-17)]]</f>
        <v>0</v>
      </c>
      <c r="DN253" s="1">
        <f>$AF253*Table1[[#This Row],[Total% (18-19)]]</f>
        <v>0</v>
      </c>
      <c r="DO253" s="1">
        <f>$CT253*Table1[[#This Row],[Female% (18-19)]]</f>
        <v>0</v>
      </c>
      <c r="DP253" s="1">
        <f>$CU253*Table1[[#This Row],[Male%(18-19)]]</f>
        <v>0</v>
      </c>
      <c r="DQ253" s="1">
        <f>$AF253*Table1[[#This Row],[Total% (20-24)]]</f>
        <v>0</v>
      </c>
      <c r="DR253" s="1">
        <f>$CT253*Table1[[#This Row],[Female% (20-24)]]</f>
        <v>0</v>
      </c>
      <c r="DS253" s="1">
        <f>$CU253*Table1[[#This Row],[Male% (20-24)]]</f>
        <v>0</v>
      </c>
      <c r="DT253" s="1">
        <f>$AF253*Table1[[#This Row],[Total% (25-29)]]</f>
        <v>0</v>
      </c>
      <c r="DU253" s="1">
        <f>$CT253*Table1[[#This Row],[Female% (25-29)]]</f>
        <v>0</v>
      </c>
      <c r="DV253" s="1">
        <f>$CU253*Table1[[#This Row],[Male% (25-29)]]</f>
        <v>0</v>
      </c>
      <c r="DW253" s="1">
        <f>$AF253*Table1[[#This Row],[Total%   (30-34)]]</f>
        <v>0</v>
      </c>
      <c r="DX253" s="1">
        <f>$CT253*Table1[[#This Row],[Female%   (30-34)]]</f>
        <v>0</v>
      </c>
      <c r="DY253" s="1">
        <f>$CU253*Table1[[#This Row],[Male%  (30-34)]]</f>
        <v>0</v>
      </c>
      <c r="DZ253" s="1">
        <f>$AF253*Table1[[#This Row],[Total% (35-39)]]</f>
        <v>0</v>
      </c>
      <c r="EA253" s="1">
        <f>$CT253*Table1[[#This Row],[Female% (35-39)]]</f>
        <v>0</v>
      </c>
      <c r="EB253" s="1">
        <f>$CU253*Table1[[#This Row],[Male% (35-39)]]</f>
        <v>0</v>
      </c>
      <c r="EC253" s="1">
        <f>$AF253*Table1[[#This Row],[Total% (40-44)]]</f>
        <v>0</v>
      </c>
      <c r="ED253" s="1">
        <f>$CT253*Table1[[#This Row],[Female% (40-44)]]</f>
        <v>0</v>
      </c>
      <c r="EE253" s="1">
        <f>$CU253*Table1[[#This Row],[Male%(55-59)]]</f>
        <v>0</v>
      </c>
      <c r="EF253" s="1">
        <f>$AF253*Table1[[#This Row],[Total% (45-49)]]</f>
        <v>0</v>
      </c>
      <c r="EG253" s="1">
        <f>$CT253*Table1[[#This Row],[Female% (45-49)]]</f>
        <v>0</v>
      </c>
      <c r="EH253" s="1">
        <f>$CU253*Table1[[#This Row],[Male% (45-49)]]</f>
        <v>0</v>
      </c>
      <c r="EI253" s="1">
        <f>$AF253*Table1[[#This Row],[Total% (50-54)]]</f>
        <v>0</v>
      </c>
      <c r="EJ253" s="1">
        <f>$CT253*Table1[[#This Row],[Female%(50-54)]]</f>
        <v>0</v>
      </c>
      <c r="EK253" s="1">
        <f>$CU253*Table1[[#This Row],[Male% (50-54)]]</f>
        <v>0</v>
      </c>
      <c r="EL253" s="1">
        <f>$AF253*Table1[[#This Row],[Total% (55-59)]]</f>
        <v>0</v>
      </c>
      <c r="EM253" s="1">
        <f>$CT253*Table1[[#This Row],[Female% (55-59)]]</f>
        <v>0</v>
      </c>
      <c r="EN253" s="1">
        <f>$CU253*Table1[[#This Row],[Male% (55-59)]]</f>
        <v>0</v>
      </c>
      <c r="EO253" s="1">
        <f>$AF253*Table1[[#This Row],[Total% (60-64)]]</f>
        <v>0</v>
      </c>
      <c r="EP253" s="1">
        <f>$CT253*Table1[[#This Row],[Female%(60-64)]]</f>
        <v>0</v>
      </c>
      <c r="EQ253" s="1">
        <f>$CU253*Table1[[#This Row],[Male%(60-64)]]</f>
        <v>0</v>
      </c>
      <c r="ER253" s="1">
        <f>$AF253*Table1[[#This Row],[Total% (&gt;=65)]]</f>
        <v>0</v>
      </c>
      <c r="ES253" s="1">
        <f>$CT253*Table1[[#This Row],[Female%(&gt;=65)]]</f>
        <v>0</v>
      </c>
      <c r="ET253" s="1">
        <f>$CU253*Table1[[#This Row],[Male% (&gt;=65)]]</f>
        <v>0</v>
      </c>
    </row>
    <row r="254" spans="1:150" hidden="1" x14ac:dyDescent="0.35">
      <c r="A254" t="s">
        <v>28</v>
      </c>
      <c r="B254" t="s">
        <v>29</v>
      </c>
      <c r="C254" t="s">
        <v>30</v>
      </c>
      <c r="D254" t="s">
        <v>31</v>
      </c>
      <c r="E254" t="s">
        <v>227</v>
      </c>
      <c r="F254" t="s">
        <v>228</v>
      </c>
      <c r="H254">
        <v>3</v>
      </c>
      <c r="I254" s="1">
        <v>0</v>
      </c>
      <c r="J254" s="1">
        <v>10035</v>
      </c>
      <c r="K254" s="1">
        <v>47880</v>
      </c>
      <c r="L254" s="1">
        <v>1709</v>
      </c>
      <c r="M254" s="1">
        <v>0</v>
      </c>
      <c r="N254" s="1">
        <v>49589</v>
      </c>
      <c r="O254" s="3">
        <v>1</v>
      </c>
      <c r="P254" s="3">
        <v>0</v>
      </c>
      <c r="Q254" s="3">
        <v>0</v>
      </c>
      <c r="R254" s="3">
        <v>0</v>
      </c>
      <c r="S254" s="3">
        <v>0</v>
      </c>
      <c r="T254" s="1">
        <v>59624</v>
      </c>
      <c r="U254" s="1">
        <v>0</v>
      </c>
      <c r="V254" s="10">
        <f>Table1[[#This Row],[Pop NW+RATAA]]*Table1[[#This Row],[Perc_pop_Northern_Aleppo]]</f>
        <v>0</v>
      </c>
      <c r="W254" s="10">
        <f>Table1[[#This Row],[Pop NW+RATAA]]*Table1[[#This Row],[Perc_pop_Afrin District]]</f>
        <v>0</v>
      </c>
      <c r="X254" s="10">
        <f>Table1[[#This Row],[Pop NW+RATAA]]*Table1[[#This Row],[Perc_pop_Euphrates Shiled]]</f>
        <v>0</v>
      </c>
      <c r="Y254" s="10">
        <f>Table1[[#This Row],[Pop NW+RATAA]]*Table1[[#This Row],[Perc_Pop_Idleb_NSAG]]</f>
        <v>0</v>
      </c>
      <c r="Z254" s="3">
        <v>0</v>
      </c>
      <c r="AA254" s="3">
        <v>0</v>
      </c>
      <c r="AB254" s="3">
        <v>0</v>
      </c>
      <c r="AC254" s="3">
        <v>0</v>
      </c>
      <c r="AD254" s="1">
        <v>49589</v>
      </c>
      <c r="AE254" s="1">
        <v>0</v>
      </c>
      <c r="AF254" s="1">
        <v>0</v>
      </c>
      <c r="AG254" s="1">
        <v>0</v>
      </c>
      <c r="AH254" s="1">
        <v>0</v>
      </c>
      <c r="AI254" s="1">
        <f>Table1[[#This Row],[NWS_pin]]*Table1[[#This Row],[Perc_pop_Northern_Aleppo]]</f>
        <v>0</v>
      </c>
      <c r="AJ254" s="1">
        <f>Table1[[#This Row],[NWS_pin]]*Table1[[#This Row],[Perc_pop_Afrin District]]</f>
        <v>0</v>
      </c>
      <c r="AK254" s="1">
        <f>Table1[[#This Row],[NWS_pin]]*Table1[[#This Row],[Perc_pop_Euphrates Shiled]]</f>
        <v>0</v>
      </c>
      <c r="AL254" s="1">
        <f>Table1[[#This Row],[NWS_pin]]*Table1[[#This Row],[Perc_Pop_Idleb_NSAG]]</f>
        <v>0</v>
      </c>
      <c r="AM254" s="4">
        <v>0.58178472020817895</v>
      </c>
      <c r="AN254" s="4">
        <v>0.41821527979182099</v>
      </c>
      <c r="AO254" s="4">
        <v>9.6547368421052604E-2</v>
      </c>
      <c r="AP254" s="4">
        <v>0.40449447765812202</v>
      </c>
      <c r="AQ254" s="4">
        <v>0.55450047748255005</v>
      </c>
      <c r="AR254" s="4">
        <v>0</v>
      </c>
      <c r="AS254" s="4">
        <v>0</v>
      </c>
      <c r="AT254" s="4">
        <v>4.10050448593271E-2</v>
      </c>
      <c r="AU254" s="4">
        <v>0.104419515217307</v>
      </c>
      <c r="AV254" s="4">
        <v>9.7153098391411799E-2</v>
      </c>
      <c r="AW254" s="4">
        <v>0.114527922260862</v>
      </c>
      <c r="AX254" s="4">
        <v>0.113716835200861</v>
      </c>
      <c r="AY254" s="4">
        <v>0.101958976452447</v>
      </c>
      <c r="AZ254" s="4">
        <v>0.13007334557417299</v>
      </c>
      <c r="BA254" s="4">
        <v>0.110077925922565</v>
      </c>
      <c r="BB254" s="4">
        <v>0.135869616657318</v>
      </c>
      <c r="BC254" s="4">
        <v>7.4198769175151599E-2</v>
      </c>
      <c r="BD254" s="4">
        <v>0.113820771545252</v>
      </c>
      <c r="BE254" s="4">
        <v>0.121809541406878</v>
      </c>
      <c r="BF254" s="4">
        <v>0.102707489789818</v>
      </c>
      <c r="BG254" s="4">
        <v>7.4541123134401699E-2</v>
      </c>
      <c r="BH254" s="4">
        <v>6.5277318819317906E-2</v>
      </c>
      <c r="BI254" s="4">
        <v>8.74281219169359E-2</v>
      </c>
      <c r="BJ254" s="4">
        <v>2.7733137555128101E-2</v>
      </c>
      <c r="BK254" s="4">
        <v>2.45383883829715E-2</v>
      </c>
      <c r="BL254" s="4">
        <v>3.2177394719006998E-2</v>
      </c>
      <c r="BM254" s="4">
        <v>1.42760594197467E-2</v>
      </c>
      <c r="BN254" s="4">
        <v>9.8153553531885995E-3</v>
      </c>
      <c r="BO254" s="4">
        <v>2.0481402917922598E-2</v>
      </c>
      <c r="BP254" s="4">
        <v>4.5042115168352798E-2</v>
      </c>
      <c r="BQ254" s="4">
        <v>7.2512910392881699E-2</v>
      </c>
      <c r="BR254" s="4">
        <v>6.8271343059742003E-3</v>
      </c>
      <c r="BS254" s="4">
        <v>0.15025254017822001</v>
      </c>
      <c r="BT254" s="4">
        <v>0.163688071986268</v>
      </c>
      <c r="BU254" s="4">
        <v>0.13156219697104701</v>
      </c>
      <c r="BV254" s="4">
        <v>0.12602534640235899</v>
      </c>
      <c r="BW254" s="4">
        <v>0.104742390903116</v>
      </c>
      <c r="BX254" s="4">
        <v>0.155632342867177</v>
      </c>
      <c r="BY254" s="4">
        <v>7.78204300187436E-2</v>
      </c>
      <c r="BZ254" s="4">
        <v>7.8095942871228605E-2</v>
      </c>
      <c r="CA254" s="4">
        <v>7.7437160502917796E-2</v>
      </c>
      <c r="CB254" s="4">
        <v>3.37085645852154E-2</v>
      </c>
      <c r="CC254" s="4">
        <v>1.47230330297829E-2</v>
      </c>
      <c r="CD254" s="4">
        <v>6.0119584693039102E-2</v>
      </c>
      <c r="CE254" s="4">
        <v>5.7104237678986796E-3</v>
      </c>
      <c r="CF254" s="4">
        <v>4.9076776765942997E-3</v>
      </c>
      <c r="CG254" s="4">
        <v>6.8271343059742003E-3</v>
      </c>
      <c r="CH254" s="4">
        <v>2.8552118839493398E-3</v>
      </c>
      <c r="CI254" s="4">
        <v>4.9076776765942997E-3</v>
      </c>
      <c r="CJ254" s="4">
        <v>0</v>
      </c>
      <c r="CK254" s="4">
        <v>0</v>
      </c>
      <c r="CL254" s="4">
        <v>0</v>
      </c>
      <c r="CM254" s="4">
        <v>0</v>
      </c>
      <c r="CN254" s="4">
        <v>0</v>
      </c>
      <c r="CO254" s="4">
        <v>0</v>
      </c>
      <c r="CP254" s="4">
        <v>0</v>
      </c>
      <c r="CQ254" s="4">
        <v>0</v>
      </c>
      <c r="CR254" s="4">
        <v>0</v>
      </c>
      <c r="CS254" s="4">
        <v>0</v>
      </c>
      <c r="CT254" s="1">
        <f>Table1[[#This Row],[Female %]]*Table1[[#This Row],[NWS_pin]]</f>
        <v>0</v>
      </c>
      <c r="CU254" s="1">
        <f>Table1[[#This Row],[Male %]]*Table1[[#This Row],[NWS_pin]]</f>
        <v>0</v>
      </c>
      <c r="CV254" s="1">
        <f>Table1[[#This Row],[Female% (0-2)22]]+Table1[[#This Row],[Male%(0-2)3]]</f>
        <v>0</v>
      </c>
      <c r="CW254" s="1">
        <f>$CT254*Table1[[#This Row],[Female% (0-2)]]</f>
        <v>0</v>
      </c>
      <c r="CX254" s="1">
        <f>$CU254*Table1[[#This Row],[Male%(0-2)]]</f>
        <v>0</v>
      </c>
      <c r="CY254" s="1">
        <f>Table1[[#This Row],[Female%  (3-5)5]]+Table1[[#This Row],[Male% (3-5)6]]</f>
        <v>0</v>
      </c>
      <c r="CZ254" s="1">
        <f>$AF254*Table1[[#This Row],[Female%  (3-5)]]</f>
        <v>0</v>
      </c>
      <c r="DA254" s="1">
        <f>$CU254*Table1[[#This Row],[Male% (3-5)]]</f>
        <v>0</v>
      </c>
      <c r="DB254" s="1">
        <f>Table1[[#This Row],[Female% (6-8)8]]+Table1[[#This Row],[Male%(6-8)9]]</f>
        <v>0</v>
      </c>
      <c r="DC254" s="1">
        <f>$CT254*Table1[[#This Row],[Female% (6-8)]]</f>
        <v>0</v>
      </c>
      <c r="DD254" s="1">
        <f>$CU254*Table1[[#This Row],[Male%(6-8)]]</f>
        <v>0</v>
      </c>
      <c r="DE254" s="1">
        <f>Table1[[#This Row],[Female% (9 - 11)11]]+Table1[[#This Row],[Male% (9 - 11)12]]</f>
        <v>0</v>
      </c>
      <c r="DF254" s="1">
        <f>$CT254*Table1[[#This Row],[Female% (9 - 11)]]</f>
        <v>0</v>
      </c>
      <c r="DG254" s="1">
        <f>$CU254*Table1[[#This Row],[Male% (9 - 11)]]</f>
        <v>0</v>
      </c>
      <c r="DH254" s="1">
        <f>Table1[[#This Row],[Female% (12-14)14]]+Table1[[#This Row],[Male%(12-14)15]]</f>
        <v>0</v>
      </c>
      <c r="DI254" s="1">
        <f>$CT254*Table1[[#This Row],[Female% (12-14)]]</f>
        <v>0</v>
      </c>
      <c r="DJ254" s="1">
        <f>$CU254*Table1[[#This Row],[Male%(12-14)]]</f>
        <v>0</v>
      </c>
      <c r="DK254" s="1">
        <f>Table1[[#This Row],[Female% (15-17)17]]+Table1[[#This Row],[Male%(15-17)18]]</f>
        <v>0</v>
      </c>
      <c r="DL254" s="1">
        <f>$CT254*Table1[[#This Row],[Female% (15-17)]]</f>
        <v>0</v>
      </c>
      <c r="DM254" s="1">
        <f>$CU254*Table1[[#This Row],[Male%(15-17)]]</f>
        <v>0</v>
      </c>
      <c r="DN254" s="1">
        <f>$AF254*Table1[[#This Row],[Total% (18-19)]]</f>
        <v>0</v>
      </c>
      <c r="DO254" s="1">
        <f>$CT254*Table1[[#This Row],[Female% (18-19)]]</f>
        <v>0</v>
      </c>
      <c r="DP254" s="1">
        <f>$CU254*Table1[[#This Row],[Male%(18-19)]]</f>
        <v>0</v>
      </c>
      <c r="DQ254" s="1">
        <f>$AF254*Table1[[#This Row],[Total% (20-24)]]</f>
        <v>0</v>
      </c>
      <c r="DR254" s="1">
        <f>$CT254*Table1[[#This Row],[Female% (20-24)]]</f>
        <v>0</v>
      </c>
      <c r="DS254" s="1">
        <f>$CU254*Table1[[#This Row],[Male% (20-24)]]</f>
        <v>0</v>
      </c>
      <c r="DT254" s="1">
        <f>$AF254*Table1[[#This Row],[Total% (25-29)]]</f>
        <v>0</v>
      </c>
      <c r="DU254" s="1">
        <f>$CT254*Table1[[#This Row],[Female% (25-29)]]</f>
        <v>0</v>
      </c>
      <c r="DV254" s="1">
        <f>$CU254*Table1[[#This Row],[Male% (25-29)]]</f>
        <v>0</v>
      </c>
      <c r="DW254" s="1">
        <f>$AF254*Table1[[#This Row],[Total%   (30-34)]]</f>
        <v>0</v>
      </c>
      <c r="DX254" s="1">
        <f>$CT254*Table1[[#This Row],[Female%   (30-34)]]</f>
        <v>0</v>
      </c>
      <c r="DY254" s="1">
        <f>$CU254*Table1[[#This Row],[Male%  (30-34)]]</f>
        <v>0</v>
      </c>
      <c r="DZ254" s="1">
        <f>$AF254*Table1[[#This Row],[Total% (35-39)]]</f>
        <v>0</v>
      </c>
      <c r="EA254" s="1">
        <f>$CT254*Table1[[#This Row],[Female% (35-39)]]</f>
        <v>0</v>
      </c>
      <c r="EB254" s="1">
        <f>$CU254*Table1[[#This Row],[Male% (35-39)]]</f>
        <v>0</v>
      </c>
      <c r="EC254" s="1">
        <f>$AF254*Table1[[#This Row],[Total% (40-44)]]</f>
        <v>0</v>
      </c>
      <c r="ED254" s="1">
        <f>$CT254*Table1[[#This Row],[Female% (40-44)]]</f>
        <v>0</v>
      </c>
      <c r="EE254" s="1">
        <f>$CU254*Table1[[#This Row],[Male%(55-59)]]</f>
        <v>0</v>
      </c>
      <c r="EF254" s="1">
        <f>$AF254*Table1[[#This Row],[Total% (45-49)]]</f>
        <v>0</v>
      </c>
      <c r="EG254" s="1">
        <f>$CT254*Table1[[#This Row],[Female% (45-49)]]</f>
        <v>0</v>
      </c>
      <c r="EH254" s="1">
        <f>$CU254*Table1[[#This Row],[Male% (45-49)]]</f>
        <v>0</v>
      </c>
      <c r="EI254" s="1">
        <f>$AF254*Table1[[#This Row],[Total% (50-54)]]</f>
        <v>0</v>
      </c>
      <c r="EJ254" s="1">
        <f>$CT254*Table1[[#This Row],[Female%(50-54)]]</f>
        <v>0</v>
      </c>
      <c r="EK254" s="1">
        <f>$CU254*Table1[[#This Row],[Male% (50-54)]]</f>
        <v>0</v>
      </c>
      <c r="EL254" s="1">
        <f>$AF254*Table1[[#This Row],[Total% (55-59)]]</f>
        <v>0</v>
      </c>
      <c r="EM254" s="1">
        <f>$CT254*Table1[[#This Row],[Female% (55-59)]]</f>
        <v>0</v>
      </c>
      <c r="EN254" s="1">
        <f>$CU254*Table1[[#This Row],[Male% (55-59)]]</f>
        <v>0</v>
      </c>
      <c r="EO254" s="1">
        <f>$AF254*Table1[[#This Row],[Total% (60-64)]]</f>
        <v>0</v>
      </c>
      <c r="EP254" s="1">
        <f>$CT254*Table1[[#This Row],[Female%(60-64)]]</f>
        <v>0</v>
      </c>
      <c r="EQ254" s="1">
        <f>$CU254*Table1[[#This Row],[Male%(60-64)]]</f>
        <v>0</v>
      </c>
      <c r="ER254" s="1">
        <f>$AF254*Table1[[#This Row],[Total% (&gt;=65)]]</f>
        <v>0</v>
      </c>
      <c r="ES254" s="1">
        <f>$CT254*Table1[[#This Row],[Female%(&gt;=65)]]</f>
        <v>0</v>
      </c>
      <c r="ET254" s="1">
        <f>$CU254*Table1[[#This Row],[Male% (&gt;=65)]]</f>
        <v>0</v>
      </c>
    </row>
    <row r="255" spans="1:150" hidden="1" x14ac:dyDescent="0.35">
      <c r="A255" t="s">
        <v>28</v>
      </c>
      <c r="B255" t="s">
        <v>29</v>
      </c>
      <c r="C255" t="s">
        <v>30</v>
      </c>
      <c r="D255" t="s">
        <v>31</v>
      </c>
      <c r="E255" t="s">
        <v>390</v>
      </c>
      <c r="F255" t="s">
        <v>391</v>
      </c>
      <c r="H255">
        <v>3</v>
      </c>
      <c r="I255" s="1">
        <v>0</v>
      </c>
      <c r="J255" s="1">
        <v>4184</v>
      </c>
      <c r="K255" s="1">
        <v>31569</v>
      </c>
      <c r="L255" s="1">
        <v>3803</v>
      </c>
      <c r="M255" s="1">
        <v>0</v>
      </c>
      <c r="N255" s="1">
        <v>35372</v>
      </c>
      <c r="O255" s="3">
        <v>1</v>
      </c>
      <c r="P255" s="3">
        <v>0</v>
      </c>
      <c r="Q255" s="3">
        <v>0</v>
      </c>
      <c r="R255" s="3">
        <v>0</v>
      </c>
      <c r="S255" s="3">
        <v>0</v>
      </c>
      <c r="T255" s="1">
        <v>39556</v>
      </c>
      <c r="U255" s="1">
        <v>0</v>
      </c>
      <c r="V255" s="10">
        <f>Table1[[#This Row],[Pop NW+RATAA]]*Table1[[#This Row],[Perc_pop_Northern_Aleppo]]</f>
        <v>0</v>
      </c>
      <c r="W255" s="10">
        <f>Table1[[#This Row],[Pop NW+RATAA]]*Table1[[#This Row],[Perc_pop_Afrin District]]</f>
        <v>0</v>
      </c>
      <c r="X255" s="10">
        <f>Table1[[#This Row],[Pop NW+RATAA]]*Table1[[#This Row],[Perc_pop_Euphrates Shiled]]</f>
        <v>0</v>
      </c>
      <c r="Y255" s="10">
        <f>Table1[[#This Row],[Pop NW+RATAA]]*Table1[[#This Row],[Perc_Pop_Idleb_NSAG]]</f>
        <v>0</v>
      </c>
      <c r="Z255" s="3">
        <v>0</v>
      </c>
      <c r="AA255" s="3">
        <v>0</v>
      </c>
      <c r="AB255" s="3">
        <v>0</v>
      </c>
      <c r="AC255" s="3">
        <v>0</v>
      </c>
      <c r="AD255" s="1">
        <v>35372</v>
      </c>
      <c r="AE255" s="1">
        <v>0</v>
      </c>
      <c r="AF255" s="1">
        <v>0</v>
      </c>
      <c r="AG255" s="1">
        <v>0</v>
      </c>
      <c r="AH255" s="1">
        <v>0</v>
      </c>
      <c r="AI255" s="1">
        <f>Table1[[#This Row],[NWS_pin]]*Table1[[#This Row],[Perc_pop_Northern_Aleppo]]</f>
        <v>0</v>
      </c>
      <c r="AJ255" s="1">
        <f>Table1[[#This Row],[NWS_pin]]*Table1[[#This Row],[Perc_pop_Afrin District]]</f>
        <v>0</v>
      </c>
      <c r="AK255" s="1">
        <f>Table1[[#This Row],[NWS_pin]]*Table1[[#This Row],[Perc_pop_Euphrates Shiled]]</f>
        <v>0</v>
      </c>
      <c r="AL255" s="1">
        <f>Table1[[#This Row],[NWS_pin]]*Table1[[#This Row],[Perc_Pop_Idleb_NSAG]]</f>
        <v>0</v>
      </c>
      <c r="AM255" s="4">
        <v>0.55798087126003704</v>
      </c>
      <c r="AN255" s="4">
        <v>0.44201912873996302</v>
      </c>
      <c r="AO255" s="4">
        <v>7.3304041433180506E-2</v>
      </c>
      <c r="AP255" s="4">
        <v>0.42459057113242699</v>
      </c>
      <c r="AQ255" s="4">
        <v>0.55389544631749599</v>
      </c>
      <c r="AR255" s="4">
        <v>0</v>
      </c>
      <c r="AS255" s="4">
        <v>0</v>
      </c>
      <c r="AT255" s="4">
        <v>2.15139825500766E-2</v>
      </c>
      <c r="AU255" s="4">
        <v>9.7805659047750196E-2</v>
      </c>
      <c r="AV255" s="4">
        <v>9.3408366943605506E-2</v>
      </c>
      <c r="AW255" s="4">
        <v>0.10335656107873201</v>
      </c>
      <c r="AX255" s="4">
        <v>0.10939895222671001</v>
      </c>
      <c r="AY255" s="4">
        <v>0.119232436942003</v>
      </c>
      <c r="AZ255" s="4">
        <v>9.69856967538021E-2</v>
      </c>
      <c r="BA255" s="4">
        <v>7.9191787773626607E-2</v>
      </c>
      <c r="BB255" s="4">
        <v>8.0001146471344903E-2</v>
      </c>
      <c r="BC255" s="4">
        <v>7.8170097439540703E-2</v>
      </c>
      <c r="BD255" s="4">
        <v>0.100868451803471</v>
      </c>
      <c r="BE255" s="4">
        <v>0.11858976766771299</v>
      </c>
      <c r="BF255" s="4">
        <v>7.8498027939707601E-2</v>
      </c>
      <c r="BG255" s="4">
        <v>6.4686072870441397E-2</v>
      </c>
      <c r="BH255" s="4">
        <v>7.0863029293385504E-2</v>
      </c>
      <c r="BI255" s="4">
        <v>5.6888619542041899E-2</v>
      </c>
      <c r="BJ255" s="4">
        <v>5.9346119192543699E-2</v>
      </c>
      <c r="BK255" s="4">
        <v>5.1938050120387297E-2</v>
      </c>
      <c r="BL255" s="4">
        <v>6.8697662070381596E-2</v>
      </c>
      <c r="BM255" s="4">
        <v>2.3687720817653898E-2</v>
      </c>
      <c r="BN255" s="4">
        <v>2.1747159111084699E-2</v>
      </c>
      <c r="BO255" s="4">
        <v>2.61373802132824E-2</v>
      </c>
      <c r="BP255" s="4">
        <v>6.1115695423072602E-2</v>
      </c>
      <c r="BQ255" s="4">
        <v>7.5385006530839002E-2</v>
      </c>
      <c r="BR255" s="4">
        <v>4.3102894332565797E-2</v>
      </c>
      <c r="BS255" s="4">
        <v>0.119635543572336</v>
      </c>
      <c r="BT255" s="4">
        <v>0.121755552391347</v>
      </c>
      <c r="BU255" s="4">
        <v>0.116959359916477</v>
      </c>
      <c r="BV255" s="4">
        <v>0.11528541646314</v>
      </c>
      <c r="BW255" s="4">
        <v>0.124260235957497</v>
      </c>
      <c r="BX255" s="4">
        <v>0.103956093193493</v>
      </c>
      <c r="BY255" s="4">
        <v>6.5429535396621094E-2</v>
      </c>
      <c r="BZ255" s="4">
        <v>4.9659737994516E-2</v>
      </c>
      <c r="CA255" s="4">
        <v>8.53364686533431E-2</v>
      </c>
      <c r="CB255" s="4">
        <v>3.6176052391642198E-2</v>
      </c>
      <c r="CC255" s="4">
        <v>2.5574751068796801E-2</v>
      </c>
      <c r="CD255" s="4">
        <v>4.9558557726816201E-2</v>
      </c>
      <c r="CE255" s="4">
        <v>2.1915968550080201E-2</v>
      </c>
      <c r="CF255" s="4">
        <v>2.2010008438682602E-2</v>
      </c>
      <c r="CG255" s="4">
        <v>2.1797257717078099E-2</v>
      </c>
      <c r="CH255" s="4">
        <v>3.1186802587285099E-2</v>
      </c>
      <c r="CI255" s="4">
        <v>2.5574751068796801E-2</v>
      </c>
      <c r="CJ255" s="4">
        <v>3.8271150734771199E-2</v>
      </c>
      <c r="CK255" s="4">
        <v>1.4270221883625801E-2</v>
      </c>
      <c r="CL255" s="4">
        <v>0</v>
      </c>
      <c r="CM255" s="4">
        <v>3.2284172687967197E-2</v>
      </c>
      <c r="CN255" s="4">
        <v>0</v>
      </c>
      <c r="CO255" s="4">
        <v>0</v>
      </c>
      <c r="CP255" s="4">
        <v>0</v>
      </c>
      <c r="CQ255" s="4">
        <v>0</v>
      </c>
      <c r="CR255" s="4">
        <v>0</v>
      </c>
      <c r="CS255" s="4">
        <v>0</v>
      </c>
      <c r="CT255" s="1">
        <f>Table1[[#This Row],[Female %]]*Table1[[#This Row],[NWS_pin]]</f>
        <v>0</v>
      </c>
      <c r="CU255" s="1">
        <f>Table1[[#This Row],[Male %]]*Table1[[#This Row],[NWS_pin]]</f>
        <v>0</v>
      </c>
      <c r="CV255" s="1">
        <f>Table1[[#This Row],[Female% (0-2)22]]+Table1[[#This Row],[Male%(0-2)3]]</f>
        <v>0</v>
      </c>
      <c r="CW255" s="1">
        <f>$CT255*Table1[[#This Row],[Female% (0-2)]]</f>
        <v>0</v>
      </c>
      <c r="CX255" s="1">
        <f>$CU255*Table1[[#This Row],[Male%(0-2)]]</f>
        <v>0</v>
      </c>
      <c r="CY255" s="1">
        <f>Table1[[#This Row],[Female%  (3-5)5]]+Table1[[#This Row],[Male% (3-5)6]]</f>
        <v>0</v>
      </c>
      <c r="CZ255" s="1">
        <f>$AF255*Table1[[#This Row],[Female%  (3-5)]]</f>
        <v>0</v>
      </c>
      <c r="DA255" s="1">
        <f>$CU255*Table1[[#This Row],[Male% (3-5)]]</f>
        <v>0</v>
      </c>
      <c r="DB255" s="1">
        <f>Table1[[#This Row],[Female% (6-8)8]]+Table1[[#This Row],[Male%(6-8)9]]</f>
        <v>0</v>
      </c>
      <c r="DC255" s="1">
        <f>$CT255*Table1[[#This Row],[Female% (6-8)]]</f>
        <v>0</v>
      </c>
      <c r="DD255" s="1">
        <f>$CU255*Table1[[#This Row],[Male%(6-8)]]</f>
        <v>0</v>
      </c>
      <c r="DE255" s="1">
        <f>Table1[[#This Row],[Female% (9 - 11)11]]+Table1[[#This Row],[Male% (9 - 11)12]]</f>
        <v>0</v>
      </c>
      <c r="DF255" s="1">
        <f>$CT255*Table1[[#This Row],[Female% (9 - 11)]]</f>
        <v>0</v>
      </c>
      <c r="DG255" s="1">
        <f>$CU255*Table1[[#This Row],[Male% (9 - 11)]]</f>
        <v>0</v>
      </c>
      <c r="DH255" s="1">
        <f>Table1[[#This Row],[Female% (12-14)14]]+Table1[[#This Row],[Male%(12-14)15]]</f>
        <v>0</v>
      </c>
      <c r="DI255" s="1">
        <f>$CT255*Table1[[#This Row],[Female% (12-14)]]</f>
        <v>0</v>
      </c>
      <c r="DJ255" s="1">
        <f>$CU255*Table1[[#This Row],[Male%(12-14)]]</f>
        <v>0</v>
      </c>
      <c r="DK255" s="1">
        <f>Table1[[#This Row],[Female% (15-17)17]]+Table1[[#This Row],[Male%(15-17)18]]</f>
        <v>0</v>
      </c>
      <c r="DL255" s="1">
        <f>$CT255*Table1[[#This Row],[Female% (15-17)]]</f>
        <v>0</v>
      </c>
      <c r="DM255" s="1">
        <f>$CU255*Table1[[#This Row],[Male%(15-17)]]</f>
        <v>0</v>
      </c>
      <c r="DN255" s="1">
        <f>$AF255*Table1[[#This Row],[Total% (18-19)]]</f>
        <v>0</v>
      </c>
      <c r="DO255" s="1">
        <f>$CT255*Table1[[#This Row],[Female% (18-19)]]</f>
        <v>0</v>
      </c>
      <c r="DP255" s="1">
        <f>$CU255*Table1[[#This Row],[Male%(18-19)]]</f>
        <v>0</v>
      </c>
      <c r="DQ255" s="1">
        <f>$AF255*Table1[[#This Row],[Total% (20-24)]]</f>
        <v>0</v>
      </c>
      <c r="DR255" s="1">
        <f>$CT255*Table1[[#This Row],[Female% (20-24)]]</f>
        <v>0</v>
      </c>
      <c r="DS255" s="1">
        <f>$CU255*Table1[[#This Row],[Male% (20-24)]]</f>
        <v>0</v>
      </c>
      <c r="DT255" s="1">
        <f>$AF255*Table1[[#This Row],[Total% (25-29)]]</f>
        <v>0</v>
      </c>
      <c r="DU255" s="1">
        <f>$CT255*Table1[[#This Row],[Female% (25-29)]]</f>
        <v>0</v>
      </c>
      <c r="DV255" s="1">
        <f>$CU255*Table1[[#This Row],[Male% (25-29)]]</f>
        <v>0</v>
      </c>
      <c r="DW255" s="1">
        <f>$AF255*Table1[[#This Row],[Total%   (30-34)]]</f>
        <v>0</v>
      </c>
      <c r="DX255" s="1">
        <f>$CT255*Table1[[#This Row],[Female%   (30-34)]]</f>
        <v>0</v>
      </c>
      <c r="DY255" s="1">
        <f>$CU255*Table1[[#This Row],[Male%  (30-34)]]</f>
        <v>0</v>
      </c>
      <c r="DZ255" s="1">
        <f>$AF255*Table1[[#This Row],[Total% (35-39)]]</f>
        <v>0</v>
      </c>
      <c r="EA255" s="1">
        <f>$CT255*Table1[[#This Row],[Female% (35-39)]]</f>
        <v>0</v>
      </c>
      <c r="EB255" s="1">
        <f>$CU255*Table1[[#This Row],[Male% (35-39)]]</f>
        <v>0</v>
      </c>
      <c r="EC255" s="1">
        <f>$AF255*Table1[[#This Row],[Total% (40-44)]]</f>
        <v>0</v>
      </c>
      <c r="ED255" s="1">
        <f>$CT255*Table1[[#This Row],[Female% (40-44)]]</f>
        <v>0</v>
      </c>
      <c r="EE255" s="1">
        <f>$CU255*Table1[[#This Row],[Male%(55-59)]]</f>
        <v>0</v>
      </c>
      <c r="EF255" s="1">
        <f>$AF255*Table1[[#This Row],[Total% (45-49)]]</f>
        <v>0</v>
      </c>
      <c r="EG255" s="1">
        <f>$CT255*Table1[[#This Row],[Female% (45-49)]]</f>
        <v>0</v>
      </c>
      <c r="EH255" s="1">
        <f>$CU255*Table1[[#This Row],[Male% (45-49)]]</f>
        <v>0</v>
      </c>
      <c r="EI255" s="1">
        <f>$AF255*Table1[[#This Row],[Total% (50-54)]]</f>
        <v>0</v>
      </c>
      <c r="EJ255" s="1">
        <f>$CT255*Table1[[#This Row],[Female%(50-54)]]</f>
        <v>0</v>
      </c>
      <c r="EK255" s="1">
        <f>$CU255*Table1[[#This Row],[Male% (50-54)]]</f>
        <v>0</v>
      </c>
      <c r="EL255" s="1">
        <f>$AF255*Table1[[#This Row],[Total% (55-59)]]</f>
        <v>0</v>
      </c>
      <c r="EM255" s="1">
        <f>$CT255*Table1[[#This Row],[Female% (55-59)]]</f>
        <v>0</v>
      </c>
      <c r="EN255" s="1">
        <f>$CU255*Table1[[#This Row],[Male% (55-59)]]</f>
        <v>0</v>
      </c>
      <c r="EO255" s="1">
        <f>$AF255*Table1[[#This Row],[Total% (60-64)]]</f>
        <v>0</v>
      </c>
      <c r="EP255" s="1">
        <f>$CT255*Table1[[#This Row],[Female%(60-64)]]</f>
        <v>0</v>
      </c>
      <c r="EQ255" s="1">
        <f>$CU255*Table1[[#This Row],[Male%(60-64)]]</f>
        <v>0</v>
      </c>
      <c r="ER255" s="1">
        <f>$AF255*Table1[[#This Row],[Total% (&gt;=65)]]</f>
        <v>0</v>
      </c>
      <c r="ES255" s="1">
        <f>$CT255*Table1[[#This Row],[Female%(&gt;=65)]]</f>
        <v>0</v>
      </c>
      <c r="ET255" s="1">
        <f>$CU255*Table1[[#This Row],[Male% (&gt;=65)]]</f>
        <v>0</v>
      </c>
    </row>
    <row r="256" spans="1:150" hidden="1" x14ac:dyDescent="0.35">
      <c r="A256" t="s">
        <v>28</v>
      </c>
      <c r="B256" t="s">
        <v>29</v>
      </c>
      <c r="C256" t="s">
        <v>30</v>
      </c>
      <c r="D256" t="s">
        <v>31</v>
      </c>
      <c r="E256" t="s">
        <v>409</v>
      </c>
      <c r="F256" t="s">
        <v>410</v>
      </c>
      <c r="H256">
        <v>3</v>
      </c>
      <c r="I256" s="1">
        <v>0</v>
      </c>
      <c r="J256" s="1">
        <v>0</v>
      </c>
      <c r="K256" s="1">
        <v>19293</v>
      </c>
      <c r="L256" s="1">
        <v>6115</v>
      </c>
      <c r="M256" s="1">
        <v>0</v>
      </c>
      <c r="N256" s="1">
        <v>25408</v>
      </c>
      <c r="O256" s="3">
        <v>1</v>
      </c>
      <c r="P256" s="3">
        <v>0</v>
      </c>
      <c r="Q256" s="3">
        <v>0</v>
      </c>
      <c r="R256" s="3">
        <v>0</v>
      </c>
      <c r="S256" s="3">
        <v>0</v>
      </c>
      <c r="T256" s="1">
        <v>25408</v>
      </c>
      <c r="U256" s="1">
        <v>0</v>
      </c>
      <c r="V256" s="10">
        <f>Table1[[#This Row],[Pop NW+RATAA]]*Table1[[#This Row],[Perc_pop_Northern_Aleppo]]</f>
        <v>0</v>
      </c>
      <c r="W256" s="10">
        <f>Table1[[#This Row],[Pop NW+RATAA]]*Table1[[#This Row],[Perc_pop_Afrin District]]</f>
        <v>0</v>
      </c>
      <c r="X256" s="10">
        <f>Table1[[#This Row],[Pop NW+RATAA]]*Table1[[#This Row],[Perc_pop_Euphrates Shiled]]</f>
        <v>0</v>
      </c>
      <c r="Y256" s="10">
        <f>Table1[[#This Row],[Pop NW+RATAA]]*Table1[[#This Row],[Perc_Pop_Idleb_NSAG]]</f>
        <v>0</v>
      </c>
      <c r="Z256" s="3">
        <v>0</v>
      </c>
      <c r="AA256" s="3">
        <v>0</v>
      </c>
      <c r="AB256" s="3">
        <v>0</v>
      </c>
      <c r="AC256" s="3">
        <v>0</v>
      </c>
      <c r="AD256" s="1">
        <v>25408</v>
      </c>
      <c r="AE256" s="1">
        <v>0</v>
      </c>
      <c r="AF256" s="1">
        <v>0</v>
      </c>
      <c r="AG256" s="1">
        <v>0</v>
      </c>
      <c r="AH256" s="1">
        <v>0</v>
      </c>
      <c r="AI256" s="1">
        <f>Table1[[#This Row],[NWS_pin]]*Table1[[#This Row],[Perc_pop_Northern_Aleppo]]</f>
        <v>0</v>
      </c>
      <c r="AJ256" s="1">
        <f>Table1[[#This Row],[NWS_pin]]*Table1[[#This Row],[Perc_pop_Afrin District]]</f>
        <v>0</v>
      </c>
      <c r="AK256" s="1">
        <f>Table1[[#This Row],[NWS_pin]]*Table1[[#This Row],[Perc_pop_Euphrates Shiled]]</f>
        <v>0</v>
      </c>
      <c r="AL256" s="1">
        <f>Table1[[#This Row],[NWS_pin]]*Table1[[#This Row],[Perc_Pop_Idleb_NSAG]]</f>
        <v>0</v>
      </c>
      <c r="AM256" s="4">
        <v>0.50925831248033704</v>
      </c>
      <c r="AN256" s="4">
        <v>0.49074168751966302</v>
      </c>
      <c r="AO256" s="4">
        <v>0.158813957437175</v>
      </c>
      <c r="AP256" s="4">
        <v>0.496030899481464</v>
      </c>
      <c r="AQ256" s="4">
        <v>0.46491099138192299</v>
      </c>
      <c r="AR256" s="4">
        <v>3.11107228721273E-3</v>
      </c>
      <c r="AS256" s="4">
        <v>0</v>
      </c>
      <c r="AT256" s="4">
        <v>3.5947036849400697E-2</v>
      </c>
      <c r="AU256" s="4">
        <v>6.5285736777378894E-2</v>
      </c>
      <c r="AV256" s="4">
        <v>6.2731454622261498E-2</v>
      </c>
      <c r="AW256" s="4">
        <v>6.7936396896530998E-2</v>
      </c>
      <c r="AX256" s="4">
        <v>9.3361420338912995E-2</v>
      </c>
      <c r="AY256" s="4">
        <v>0.11058926056808201</v>
      </c>
      <c r="AZ256" s="4">
        <v>7.5483540660236201E-2</v>
      </c>
      <c r="BA256" s="4">
        <v>0.12341976790382</v>
      </c>
      <c r="BB256" s="4">
        <v>0.13476920557202399</v>
      </c>
      <c r="BC256" s="4">
        <v>0.111642094187688</v>
      </c>
      <c r="BD256" s="4">
        <v>0.10447206500867801</v>
      </c>
      <c r="BE256" s="4">
        <v>9.03034366509647E-2</v>
      </c>
      <c r="BF256" s="4">
        <v>0.119175302885368</v>
      </c>
      <c r="BG256" s="4">
        <v>5.7514405486445201E-2</v>
      </c>
      <c r="BH256" s="4">
        <v>6.5910055355676594E-2</v>
      </c>
      <c r="BI256" s="4">
        <v>4.8801971647391501E-2</v>
      </c>
      <c r="BJ256" s="4">
        <v>8.7025763655727201E-2</v>
      </c>
      <c r="BK256" s="4">
        <v>6.6940336549580398E-2</v>
      </c>
      <c r="BL256" s="4">
        <v>0.107869052444217</v>
      </c>
      <c r="BM256" s="4">
        <v>2.8855603775994498E-2</v>
      </c>
      <c r="BN256" s="4">
        <v>2.1116097206899598E-2</v>
      </c>
      <c r="BO256" s="4">
        <v>3.6887136769917797E-2</v>
      </c>
      <c r="BP256" s="4">
        <v>5.7259164534172298E-2</v>
      </c>
      <c r="BQ256" s="4">
        <v>5.99832503806065E-2</v>
      </c>
      <c r="BR256" s="4">
        <v>5.4432293704799302E-2</v>
      </c>
      <c r="BS256" s="4">
        <v>7.4223753896043798E-2</v>
      </c>
      <c r="BT256" s="4">
        <v>7.1535666887697594E-2</v>
      </c>
      <c r="BU256" s="4">
        <v>7.7013267582133199E-2</v>
      </c>
      <c r="BV256" s="4">
        <v>4.9392816073320203E-2</v>
      </c>
      <c r="BW256" s="4">
        <v>5.6404633838949197E-2</v>
      </c>
      <c r="BX256" s="4">
        <v>4.2116428976899399E-2</v>
      </c>
      <c r="BY256" s="4">
        <v>5.4204311550978698E-2</v>
      </c>
      <c r="BZ256" s="4">
        <v>5.3927242356825403E-2</v>
      </c>
      <c r="CA256" s="4">
        <v>5.4491835097160199E-2</v>
      </c>
      <c r="CB256" s="4">
        <v>6.6678444114018298E-2</v>
      </c>
      <c r="CC256" s="4">
        <v>8.7669985345681697E-2</v>
      </c>
      <c r="CD256" s="4">
        <v>4.4894851776409998E-2</v>
      </c>
      <c r="CE256" s="4">
        <v>5.5698874575353503E-2</v>
      </c>
      <c r="CF256" s="4">
        <v>5.27105206562445E-2</v>
      </c>
      <c r="CG256" s="4">
        <v>5.8799984818567803E-2</v>
      </c>
      <c r="CH256" s="4">
        <v>4.9071848186603498E-2</v>
      </c>
      <c r="CI256" s="4">
        <v>5.6604641743070297E-2</v>
      </c>
      <c r="CJ256" s="4">
        <v>4.1254827883686299E-2</v>
      </c>
      <c r="CK256" s="4">
        <v>2.4371985494979799E-2</v>
      </c>
      <c r="CL256" s="4">
        <v>8.8042122654360695E-3</v>
      </c>
      <c r="CM256" s="4">
        <v>4.0527160662641497E-2</v>
      </c>
      <c r="CN256" s="4">
        <v>9.1640386275731907E-3</v>
      </c>
      <c r="CO256" s="4">
        <v>0</v>
      </c>
      <c r="CP256" s="4">
        <v>1.8673854006352401E-2</v>
      </c>
      <c r="CQ256" s="4">
        <v>0</v>
      </c>
      <c r="CR256" s="4">
        <v>0</v>
      </c>
      <c r="CS256" s="4">
        <v>0</v>
      </c>
      <c r="CT256" s="1">
        <f>Table1[[#This Row],[Female %]]*Table1[[#This Row],[NWS_pin]]</f>
        <v>0</v>
      </c>
      <c r="CU256" s="1">
        <f>Table1[[#This Row],[Male %]]*Table1[[#This Row],[NWS_pin]]</f>
        <v>0</v>
      </c>
      <c r="CV256" s="1">
        <f>Table1[[#This Row],[Female% (0-2)22]]+Table1[[#This Row],[Male%(0-2)3]]</f>
        <v>0</v>
      </c>
      <c r="CW256" s="1">
        <f>$CT256*Table1[[#This Row],[Female% (0-2)]]</f>
        <v>0</v>
      </c>
      <c r="CX256" s="1">
        <f>$CU256*Table1[[#This Row],[Male%(0-2)]]</f>
        <v>0</v>
      </c>
      <c r="CY256" s="1">
        <f>Table1[[#This Row],[Female%  (3-5)5]]+Table1[[#This Row],[Male% (3-5)6]]</f>
        <v>0</v>
      </c>
      <c r="CZ256" s="1">
        <f>$AF256*Table1[[#This Row],[Female%  (3-5)]]</f>
        <v>0</v>
      </c>
      <c r="DA256" s="1">
        <f>$CU256*Table1[[#This Row],[Male% (3-5)]]</f>
        <v>0</v>
      </c>
      <c r="DB256" s="1">
        <f>Table1[[#This Row],[Female% (6-8)8]]+Table1[[#This Row],[Male%(6-8)9]]</f>
        <v>0</v>
      </c>
      <c r="DC256" s="1">
        <f>$CT256*Table1[[#This Row],[Female% (6-8)]]</f>
        <v>0</v>
      </c>
      <c r="DD256" s="1">
        <f>$CU256*Table1[[#This Row],[Male%(6-8)]]</f>
        <v>0</v>
      </c>
      <c r="DE256" s="1">
        <f>Table1[[#This Row],[Female% (9 - 11)11]]+Table1[[#This Row],[Male% (9 - 11)12]]</f>
        <v>0</v>
      </c>
      <c r="DF256" s="1">
        <f>$CT256*Table1[[#This Row],[Female% (9 - 11)]]</f>
        <v>0</v>
      </c>
      <c r="DG256" s="1">
        <f>$CU256*Table1[[#This Row],[Male% (9 - 11)]]</f>
        <v>0</v>
      </c>
      <c r="DH256" s="1">
        <f>Table1[[#This Row],[Female% (12-14)14]]+Table1[[#This Row],[Male%(12-14)15]]</f>
        <v>0</v>
      </c>
      <c r="DI256" s="1">
        <f>$CT256*Table1[[#This Row],[Female% (12-14)]]</f>
        <v>0</v>
      </c>
      <c r="DJ256" s="1">
        <f>$CU256*Table1[[#This Row],[Male%(12-14)]]</f>
        <v>0</v>
      </c>
      <c r="DK256" s="1">
        <f>Table1[[#This Row],[Female% (15-17)17]]+Table1[[#This Row],[Male%(15-17)18]]</f>
        <v>0</v>
      </c>
      <c r="DL256" s="1">
        <f>$CT256*Table1[[#This Row],[Female% (15-17)]]</f>
        <v>0</v>
      </c>
      <c r="DM256" s="1">
        <f>$CU256*Table1[[#This Row],[Male%(15-17)]]</f>
        <v>0</v>
      </c>
      <c r="DN256" s="1">
        <f>$AF256*Table1[[#This Row],[Total% (18-19)]]</f>
        <v>0</v>
      </c>
      <c r="DO256" s="1">
        <f>$CT256*Table1[[#This Row],[Female% (18-19)]]</f>
        <v>0</v>
      </c>
      <c r="DP256" s="1">
        <f>$CU256*Table1[[#This Row],[Male%(18-19)]]</f>
        <v>0</v>
      </c>
      <c r="DQ256" s="1">
        <f>$AF256*Table1[[#This Row],[Total% (20-24)]]</f>
        <v>0</v>
      </c>
      <c r="DR256" s="1">
        <f>$CT256*Table1[[#This Row],[Female% (20-24)]]</f>
        <v>0</v>
      </c>
      <c r="DS256" s="1">
        <f>$CU256*Table1[[#This Row],[Male% (20-24)]]</f>
        <v>0</v>
      </c>
      <c r="DT256" s="1">
        <f>$AF256*Table1[[#This Row],[Total% (25-29)]]</f>
        <v>0</v>
      </c>
      <c r="DU256" s="1">
        <f>$CT256*Table1[[#This Row],[Female% (25-29)]]</f>
        <v>0</v>
      </c>
      <c r="DV256" s="1">
        <f>$CU256*Table1[[#This Row],[Male% (25-29)]]</f>
        <v>0</v>
      </c>
      <c r="DW256" s="1">
        <f>$AF256*Table1[[#This Row],[Total%   (30-34)]]</f>
        <v>0</v>
      </c>
      <c r="DX256" s="1">
        <f>$CT256*Table1[[#This Row],[Female%   (30-34)]]</f>
        <v>0</v>
      </c>
      <c r="DY256" s="1">
        <f>$CU256*Table1[[#This Row],[Male%  (30-34)]]</f>
        <v>0</v>
      </c>
      <c r="DZ256" s="1">
        <f>$AF256*Table1[[#This Row],[Total% (35-39)]]</f>
        <v>0</v>
      </c>
      <c r="EA256" s="1">
        <f>$CT256*Table1[[#This Row],[Female% (35-39)]]</f>
        <v>0</v>
      </c>
      <c r="EB256" s="1">
        <f>$CU256*Table1[[#This Row],[Male% (35-39)]]</f>
        <v>0</v>
      </c>
      <c r="EC256" s="1">
        <f>$AF256*Table1[[#This Row],[Total% (40-44)]]</f>
        <v>0</v>
      </c>
      <c r="ED256" s="1">
        <f>$CT256*Table1[[#This Row],[Female% (40-44)]]</f>
        <v>0</v>
      </c>
      <c r="EE256" s="1">
        <f>$CU256*Table1[[#This Row],[Male%(55-59)]]</f>
        <v>0</v>
      </c>
      <c r="EF256" s="1">
        <f>$AF256*Table1[[#This Row],[Total% (45-49)]]</f>
        <v>0</v>
      </c>
      <c r="EG256" s="1">
        <f>$CT256*Table1[[#This Row],[Female% (45-49)]]</f>
        <v>0</v>
      </c>
      <c r="EH256" s="1">
        <f>$CU256*Table1[[#This Row],[Male% (45-49)]]</f>
        <v>0</v>
      </c>
      <c r="EI256" s="1">
        <f>$AF256*Table1[[#This Row],[Total% (50-54)]]</f>
        <v>0</v>
      </c>
      <c r="EJ256" s="1">
        <f>$CT256*Table1[[#This Row],[Female%(50-54)]]</f>
        <v>0</v>
      </c>
      <c r="EK256" s="1">
        <f>$CU256*Table1[[#This Row],[Male% (50-54)]]</f>
        <v>0</v>
      </c>
      <c r="EL256" s="1">
        <f>$AF256*Table1[[#This Row],[Total% (55-59)]]</f>
        <v>0</v>
      </c>
      <c r="EM256" s="1">
        <f>$CT256*Table1[[#This Row],[Female% (55-59)]]</f>
        <v>0</v>
      </c>
      <c r="EN256" s="1">
        <f>$CU256*Table1[[#This Row],[Male% (55-59)]]</f>
        <v>0</v>
      </c>
      <c r="EO256" s="1">
        <f>$AF256*Table1[[#This Row],[Total% (60-64)]]</f>
        <v>0</v>
      </c>
      <c r="EP256" s="1">
        <f>$CT256*Table1[[#This Row],[Female%(60-64)]]</f>
        <v>0</v>
      </c>
      <c r="EQ256" s="1">
        <f>$CU256*Table1[[#This Row],[Male%(60-64)]]</f>
        <v>0</v>
      </c>
      <c r="ER256" s="1">
        <f>$AF256*Table1[[#This Row],[Total% (&gt;=65)]]</f>
        <v>0</v>
      </c>
      <c r="ES256" s="1">
        <f>$CT256*Table1[[#This Row],[Female%(&gt;=65)]]</f>
        <v>0</v>
      </c>
      <c r="ET256" s="1">
        <f>$CU256*Table1[[#This Row],[Male% (&gt;=65)]]</f>
        <v>0</v>
      </c>
    </row>
    <row r="257" spans="1:150" hidden="1" x14ac:dyDescent="0.35">
      <c r="A257" t="s">
        <v>205</v>
      </c>
      <c r="B257" t="s">
        <v>206</v>
      </c>
      <c r="C257" t="s">
        <v>205</v>
      </c>
      <c r="D257" t="s">
        <v>367</v>
      </c>
      <c r="E257" t="s">
        <v>205</v>
      </c>
      <c r="F257" t="s">
        <v>368</v>
      </c>
      <c r="H257">
        <v>3</v>
      </c>
      <c r="I257" s="1">
        <v>0</v>
      </c>
      <c r="J257" s="1">
        <v>7154</v>
      </c>
      <c r="K257" s="1">
        <v>152602</v>
      </c>
      <c r="L257" s="1">
        <v>31647</v>
      </c>
      <c r="M257" s="1">
        <v>0</v>
      </c>
      <c r="N257" s="1">
        <v>184249</v>
      </c>
      <c r="O257" s="3">
        <v>1</v>
      </c>
      <c r="P257" s="3">
        <v>0</v>
      </c>
      <c r="Q257" s="3">
        <v>0</v>
      </c>
      <c r="R257" s="3">
        <v>0</v>
      </c>
      <c r="S257" s="3">
        <v>0</v>
      </c>
      <c r="T257" s="1">
        <v>191403</v>
      </c>
      <c r="U257" s="1">
        <v>0</v>
      </c>
      <c r="V257" s="10">
        <f>Table1[[#This Row],[Pop NW+RATAA]]*Table1[[#This Row],[Perc_pop_Northern_Aleppo]]</f>
        <v>0</v>
      </c>
      <c r="W257" s="10">
        <f>Table1[[#This Row],[Pop NW+RATAA]]*Table1[[#This Row],[Perc_pop_Afrin District]]</f>
        <v>0</v>
      </c>
      <c r="X257" s="10">
        <f>Table1[[#This Row],[Pop NW+RATAA]]*Table1[[#This Row],[Perc_pop_Euphrates Shiled]]</f>
        <v>0</v>
      </c>
      <c r="Y257" s="10">
        <f>Table1[[#This Row],[Pop NW+RATAA]]*Table1[[#This Row],[Perc_Pop_Idleb_NSAG]]</f>
        <v>0</v>
      </c>
      <c r="Z257" s="3">
        <v>0</v>
      </c>
      <c r="AA257" s="3">
        <v>0</v>
      </c>
      <c r="AB257" s="3">
        <v>0</v>
      </c>
      <c r="AC257" s="3">
        <v>0</v>
      </c>
      <c r="AD257" s="1">
        <v>184249</v>
      </c>
      <c r="AE257" s="1">
        <v>0</v>
      </c>
      <c r="AF257" s="1">
        <v>0</v>
      </c>
      <c r="AG257" s="1">
        <v>0</v>
      </c>
      <c r="AH257" s="1">
        <v>0</v>
      </c>
      <c r="AI257" s="1">
        <f>Table1[[#This Row],[NWS_pin]]*Table1[[#This Row],[Perc_pop_Northern_Aleppo]]</f>
        <v>0</v>
      </c>
      <c r="AJ257" s="1">
        <f>Table1[[#This Row],[NWS_pin]]*Table1[[#This Row],[Perc_pop_Afrin District]]</f>
        <v>0</v>
      </c>
      <c r="AK257" s="1">
        <f>Table1[[#This Row],[NWS_pin]]*Table1[[#This Row],[Perc_pop_Euphrates Shiled]]</f>
        <v>0</v>
      </c>
      <c r="AL257" s="1">
        <f>Table1[[#This Row],[NWS_pin]]*Table1[[#This Row],[Perc_Pop_Idleb_NSAG]]</f>
        <v>0</v>
      </c>
      <c r="AM257" s="4">
        <v>0.50607064430940396</v>
      </c>
      <c r="AN257" s="4">
        <v>0.49392935569059598</v>
      </c>
      <c r="AO257" s="4">
        <v>0.160210042816853</v>
      </c>
      <c r="AP257" s="4">
        <v>0.43728443537457101</v>
      </c>
      <c r="AQ257" s="4">
        <v>0.48177496296453298</v>
      </c>
      <c r="AR257" s="4">
        <v>2.4617884481955999E-2</v>
      </c>
      <c r="AS257" s="4">
        <v>0</v>
      </c>
      <c r="AT257" s="4">
        <v>5.6322717178939698E-2</v>
      </c>
      <c r="AU257" s="4">
        <v>6.15062959642836E-2</v>
      </c>
      <c r="AV257" s="4">
        <v>4.9765261893912401E-2</v>
      </c>
      <c r="AW257" s="4">
        <v>7.3535936657624798E-2</v>
      </c>
      <c r="AX257" s="4">
        <v>6.5026837965644804E-2</v>
      </c>
      <c r="AY257" s="4">
        <v>5.5528716737455901E-2</v>
      </c>
      <c r="AZ257" s="4">
        <v>7.4758432725704704E-2</v>
      </c>
      <c r="BA257" s="4">
        <v>9.0089335074809304E-2</v>
      </c>
      <c r="BB257" s="4">
        <v>5.7068104298838802E-2</v>
      </c>
      <c r="BC257" s="4">
        <v>0.123922261468342</v>
      </c>
      <c r="BD257" s="4">
        <v>7.6817702264873194E-2</v>
      </c>
      <c r="BE257" s="4">
        <v>5.5826845230401101E-2</v>
      </c>
      <c r="BF257" s="4">
        <v>9.8324536028963502E-2</v>
      </c>
      <c r="BG257" s="4">
        <v>6.8625349928747803E-2</v>
      </c>
      <c r="BH257" s="4">
        <v>6.8247269948169195E-2</v>
      </c>
      <c r="BI257" s="4">
        <v>6.9012723501845896E-2</v>
      </c>
      <c r="BJ257" s="4">
        <v>7.25677887146189E-2</v>
      </c>
      <c r="BK257" s="4">
        <v>7.3843816358070996E-2</v>
      </c>
      <c r="BL257" s="4">
        <v>7.1260395006918498E-2</v>
      </c>
      <c r="BM257" s="4">
        <v>2.6329178606275899E-2</v>
      </c>
      <c r="BN257" s="4">
        <v>2.40944401429798E-2</v>
      </c>
      <c r="BO257" s="4">
        <v>2.8618849226079501E-2</v>
      </c>
      <c r="BP257" s="4">
        <v>4.4681964050121002E-2</v>
      </c>
      <c r="BQ257" s="4">
        <v>6.56415833974201E-2</v>
      </c>
      <c r="BR257" s="4">
        <v>2.3207135827495801E-2</v>
      </c>
      <c r="BS257" s="4">
        <v>7.7000072683862594E-2</v>
      </c>
      <c r="BT257" s="4">
        <v>0.10458586905761399</v>
      </c>
      <c r="BU257" s="4">
        <v>4.8736189228032599E-2</v>
      </c>
      <c r="BV257" s="4">
        <v>8.3186130156975097E-2</v>
      </c>
      <c r="BW257" s="4">
        <v>0.111144913514447</v>
      </c>
      <c r="BX257" s="4">
        <v>5.4540091315974801E-2</v>
      </c>
      <c r="BY257" s="4">
        <v>9.43830791967772E-2</v>
      </c>
      <c r="BZ257" s="4">
        <v>0.11145131126486101</v>
      </c>
      <c r="CA257" s="4">
        <v>7.6895292531737394E-2</v>
      </c>
      <c r="CB257" s="4">
        <v>8.3178861770711099E-2</v>
      </c>
      <c r="CC257" s="4">
        <v>8.1217600287596101E-2</v>
      </c>
      <c r="CD257" s="4">
        <v>8.5188333066523195E-2</v>
      </c>
      <c r="CE257" s="4">
        <v>4.7529519559667902E-2</v>
      </c>
      <c r="CF257" s="4">
        <v>4.1970833893684299E-2</v>
      </c>
      <c r="CG257" s="4">
        <v>5.3224843403225697E-2</v>
      </c>
      <c r="CH257" s="4">
        <v>4.1484094348058803E-2</v>
      </c>
      <c r="CI257" s="4">
        <v>4.8706579325898801E-2</v>
      </c>
      <c r="CJ257" s="4">
        <v>3.4084073304280003E-2</v>
      </c>
      <c r="CK257" s="4">
        <v>2.1390530393968599E-2</v>
      </c>
      <c r="CL257" s="4">
        <v>1.4663787224171301E-2</v>
      </c>
      <c r="CM257" s="4">
        <v>2.8282623789153701E-2</v>
      </c>
      <c r="CN257" s="4">
        <v>1.1306305214956999E-2</v>
      </c>
      <c r="CO257" s="4">
        <v>0</v>
      </c>
      <c r="CP257" s="4">
        <v>2.28905309730962E-2</v>
      </c>
      <c r="CQ257" s="4">
        <v>3.4896954105647103E-2</v>
      </c>
      <c r="CR257" s="4">
        <v>3.6243067424478803E-2</v>
      </c>
      <c r="CS257" s="4">
        <v>3.35177519450017E-2</v>
      </c>
      <c r="CT257" s="1">
        <f>Table1[[#This Row],[Female %]]*Table1[[#This Row],[NWS_pin]]</f>
        <v>0</v>
      </c>
      <c r="CU257" s="1">
        <f>Table1[[#This Row],[Male %]]*Table1[[#This Row],[NWS_pin]]</f>
        <v>0</v>
      </c>
      <c r="CV257" s="1">
        <f>Table1[[#This Row],[Female% (0-2)22]]+Table1[[#This Row],[Male%(0-2)3]]</f>
        <v>0</v>
      </c>
      <c r="CW257" s="1">
        <f>$CT257*Table1[[#This Row],[Female% (0-2)]]</f>
        <v>0</v>
      </c>
      <c r="CX257" s="1">
        <f>$CU257*Table1[[#This Row],[Male%(0-2)]]</f>
        <v>0</v>
      </c>
      <c r="CY257" s="1">
        <f>Table1[[#This Row],[Female%  (3-5)5]]+Table1[[#This Row],[Male% (3-5)6]]</f>
        <v>0</v>
      </c>
      <c r="CZ257" s="1">
        <f>$AF257*Table1[[#This Row],[Female%  (3-5)]]</f>
        <v>0</v>
      </c>
      <c r="DA257" s="1">
        <f>$CU257*Table1[[#This Row],[Male% (3-5)]]</f>
        <v>0</v>
      </c>
      <c r="DB257" s="1">
        <f>Table1[[#This Row],[Female% (6-8)8]]+Table1[[#This Row],[Male%(6-8)9]]</f>
        <v>0</v>
      </c>
      <c r="DC257" s="1">
        <f>$CT257*Table1[[#This Row],[Female% (6-8)]]</f>
        <v>0</v>
      </c>
      <c r="DD257" s="1">
        <f>$CU257*Table1[[#This Row],[Male%(6-8)]]</f>
        <v>0</v>
      </c>
      <c r="DE257" s="1">
        <f>Table1[[#This Row],[Female% (9 - 11)11]]+Table1[[#This Row],[Male% (9 - 11)12]]</f>
        <v>0</v>
      </c>
      <c r="DF257" s="1">
        <f>$CT257*Table1[[#This Row],[Female% (9 - 11)]]</f>
        <v>0</v>
      </c>
      <c r="DG257" s="1">
        <f>$CU257*Table1[[#This Row],[Male% (9 - 11)]]</f>
        <v>0</v>
      </c>
      <c r="DH257" s="1">
        <f>Table1[[#This Row],[Female% (12-14)14]]+Table1[[#This Row],[Male%(12-14)15]]</f>
        <v>0</v>
      </c>
      <c r="DI257" s="1">
        <f>$CT257*Table1[[#This Row],[Female% (12-14)]]</f>
        <v>0</v>
      </c>
      <c r="DJ257" s="1">
        <f>$CU257*Table1[[#This Row],[Male%(12-14)]]</f>
        <v>0</v>
      </c>
      <c r="DK257" s="1">
        <f>Table1[[#This Row],[Female% (15-17)17]]+Table1[[#This Row],[Male%(15-17)18]]</f>
        <v>0</v>
      </c>
      <c r="DL257" s="1">
        <f>$CT257*Table1[[#This Row],[Female% (15-17)]]</f>
        <v>0</v>
      </c>
      <c r="DM257" s="1">
        <f>$CU257*Table1[[#This Row],[Male%(15-17)]]</f>
        <v>0</v>
      </c>
      <c r="DN257" s="1">
        <f>$AF257*Table1[[#This Row],[Total% (18-19)]]</f>
        <v>0</v>
      </c>
      <c r="DO257" s="1">
        <f>$CT257*Table1[[#This Row],[Female% (18-19)]]</f>
        <v>0</v>
      </c>
      <c r="DP257" s="1">
        <f>$CU257*Table1[[#This Row],[Male%(18-19)]]</f>
        <v>0</v>
      </c>
      <c r="DQ257" s="1">
        <f>$AF257*Table1[[#This Row],[Total% (20-24)]]</f>
        <v>0</v>
      </c>
      <c r="DR257" s="1">
        <f>$CT257*Table1[[#This Row],[Female% (20-24)]]</f>
        <v>0</v>
      </c>
      <c r="DS257" s="1">
        <f>$CU257*Table1[[#This Row],[Male% (20-24)]]</f>
        <v>0</v>
      </c>
      <c r="DT257" s="1">
        <f>$AF257*Table1[[#This Row],[Total% (25-29)]]</f>
        <v>0</v>
      </c>
      <c r="DU257" s="1">
        <f>$CT257*Table1[[#This Row],[Female% (25-29)]]</f>
        <v>0</v>
      </c>
      <c r="DV257" s="1">
        <f>$CU257*Table1[[#This Row],[Male% (25-29)]]</f>
        <v>0</v>
      </c>
      <c r="DW257" s="1">
        <f>$AF257*Table1[[#This Row],[Total%   (30-34)]]</f>
        <v>0</v>
      </c>
      <c r="DX257" s="1">
        <f>$CT257*Table1[[#This Row],[Female%   (30-34)]]</f>
        <v>0</v>
      </c>
      <c r="DY257" s="1">
        <f>$CU257*Table1[[#This Row],[Male%  (30-34)]]</f>
        <v>0</v>
      </c>
      <c r="DZ257" s="1">
        <f>$AF257*Table1[[#This Row],[Total% (35-39)]]</f>
        <v>0</v>
      </c>
      <c r="EA257" s="1">
        <f>$CT257*Table1[[#This Row],[Female% (35-39)]]</f>
        <v>0</v>
      </c>
      <c r="EB257" s="1">
        <f>$CU257*Table1[[#This Row],[Male% (35-39)]]</f>
        <v>0</v>
      </c>
      <c r="EC257" s="1">
        <f>$AF257*Table1[[#This Row],[Total% (40-44)]]</f>
        <v>0</v>
      </c>
      <c r="ED257" s="1">
        <f>$CT257*Table1[[#This Row],[Female% (40-44)]]</f>
        <v>0</v>
      </c>
      <c r="EE257" s="1">
        <f>$CU257*Table1[[#This Row],[Male%(55-59)]]</f>
        <v>0</v>
      </c>
      <c r="EF257" s="1">
        <f>$AF257*Table1[[#This Row],[Total% (45-49)]]</f>
        <v>0</v>
      </c>
      <c r="EG257" s="1">
        <f>$CT257*Table1[[#This Row],[Female% (45-49)]]</f>
        <v>0</v>
      </c>
      <c r="EH257" s="1">
        <f>$CU257*Table1[[#This Row],[Male% (45-49)]]</f>
        <v>0</v>
      </c>
      <c r="EI257" s="1">
        <f>$AF257*Table1[[#This Row],[Total% (50-54)]]</f>
        <v>0</v>
      </c>
      <c r="EJ257" s="1">
        <f>$CT257*Table1[[#This Row],[Female%(50-54)]]</f>
        <v>0</v>
      </c>
      <c r="EK257" s="1">
        <f>$CU257*Table1[[#This Row],[Male% (50-54)]]</f>
        <v>0</v>
      </c>
      <c r="EL257" s="1">
        <f>$AF257*Table1[[#This Row],[Total% (55-59)]]</f>
        <v>0</v>
      </c>
      <c r="EM257" s="1">
        <f>$CT257*Table1[[#This Row],[Female% (55-59)]]</f>
        <v>0</v>
      </c>
      <c r="EN257" s="1">
        <f>$CU257*Table1[[#This Row],[Male% (55-59)]]</f>
        <v>0</v>
      </c>
      <c r="EO257" s="1">
        <f>$AF257*Table1[[#This Row],[Total% (60-64)]]</f>
        <v>0</v>
      </c>
      <c r="EP257" s="1">
        <f>$CT257*Table1[[#This Row],[Female%(60-64)]]</f>
        <v>0</v>
      </c>
      <c r="EQ257" s="1">
        <f>$CU257*Table1[[#This Row],[Male%(60-64)]]</f>
        <v>0</v>
      </c>
      <c r="ER257" s="1">
        <f>$AF257*Table1[[#This Row],[Total% (&gt;=65)]]</f>
        <v>0</v>
      </c>
      <c r="ES257" s="1">
        <f>$CT257*Table1[[#This Row],[Female%(&gt;=65)]]</f>
        <v>0</v>
      </c>
      <c r="ET257" s="1">
        <f>$CU257*Table1[[#This Row],[Male% (&gt;=65)]]</f>
        <v>0</v>
      </c>
    </row>
    <row r="258" spans="1:150" hidden="1" x14ac:dyDescent="0.35">
      <c r="A258" t="s">
        <v>205</v>
      </c>
      <c r="B258" t="s">
        <v>206</v>
      </c>
      <c r="C258" t="s">
        <v>205</v>
      </c>
      <c r="D258" t="s">
        <v>367</v>
      </c>
      <c r="E258" t="s">
        <v>446</v>
      </c>
      <c r="F258" t="s">
        <v>447</v>
      </c>
      <c r="H258">
        <v>3</v>
      </c>
      <c r="I258" s="1">
        <v>0</v>
      </c>
      <c r="J258" s="1">
        <v>978</v>
      </c>
      <c r="K258" s="1">
        <v>18466</v>
      </c>
      <c r="L258" s="1">
        <v>1591</v>
      </c>
      <c r="M258" s="1">
        <v>0</v>
      </c>
      <c r="N258" s="1">
        <v>20057</v>
      </c>
      <c r="O258" s="3">
        <v>1</v>
      </c>
      <c r="P258" s="3">
        <v>0</v>
      </c>
      <c r="Q258" s="3">
        <v>0</v>
      </c>
      <c r="R258" s="3">
        <v>0</v>
      </c>
      <c r="S258" s="3">
        <v>0</v>
      </c>
      <c r="T258" s="1">
        <v>21035</v>
      </c>
      <c r="U258" s="1">
        <v>0</v>
      </c>
      <c r="V258" s="10">
        <f>Table1[[#This Row],[Pop NW+RATAA]]*Table1[[#This Row],[Perc_pop_Northern_Aleppo]]</f>
        <v>0</v>
      </c>
      <c r="W258" s="10">
        <f>Table1[[#This Row],[Pop NW+RATAA]]*Table1[[#This Row],[Perc_pop_Afrin District]]</f>
        <v>0</v>
      </c>
      <c r="X258" s="10">
        <f>Table1[[#This Row],[Pop NW+RATAA]]*Table1[[#This Row],[Perc_pop_Euphrates Shiled]]</f>
        <v>0</v>
      </c>
      <c r="Y258" s="10">
        <f>Table1[[#This Row],[Pop NW+RATAA]]*Table1[[#This Row],[Perc_Pop_Idleb_NSAG]]</f>
        <v>0</v>
      </c>
      <c r="Z258" s="3">
        <v>0</v>
      </c>
      <c r="AA258" s="3">
        <v>0</v>
      </c>
      <c r="AB258" s="3">
        <v>0</v>
      </c>
      <c r="AC258" s="3">
        <v>0</v>
      </c>
      <c r="AD258" s="1">
        <v>20057</v>
      </c>
      <c r="AE258" s="1">
        <v>0</v>
      </c>
      <c r="AF258" s="1">
        <v>0</v>
      </c>
      <c r="AG258" s="1">
        <v>0</v>
      </c>
      <c r="AH258" s="1">
        <v>0</v>
      </c>
      <c r="AI258" s="1">
        <f>Table1[[#This Row],[NWS_pin]]*Table1[[#This Row],[Perc_pop_Northern_Aleppo]]</f>
        <v>0</v>
      </c>
      <c r="AJ258" s="1">
        <f>Table1[[#This Row],[NWS_pin]]*Table1[[#This Row],[Perc_pop_Afrin District]]</f>
        <v>0</v>
      </c>
      <c r="AK258" s="1">
        <f>Table1[[#This Row],[NWS_pin]]*Table1[[#This Row],[Perc_pop_Euphrates Shiled]]</f>
        <v>0</v>
      </c>
      <c r="AL258" s="1">
        <f>Table1[[#This Row],[NWS_pin]]*Table1[[#This Row],[Perc_Pop_Idleb_NSAG]]</f>
        <v>0</v>
      </c>
      <c r="AM258" s="4">
        <v>0.50822319553305995</v>
      </c>
      <c r="AN258" s="4">
        <v>0.49177680446694</v>
      </c>
      <c r="AO258" s="4">
        <v>0.122530120481928</v>
      </c>
      <c r="AP258" s="4">
        <v>0.441176973565436</v>
      </c>
      <c r="AQ258" s="4">
        <v>0.51025113364629404</v>
      </c>
      <c r="AR258" s="4">
        <v>2.1635960057414701E-2</v>
      </c>
      <c r="AS258" s="4">
        <v>0</v>
      </c>
      <c r="AT258" s="4">
        <v>2.6935932730854598E-2</v>
      </c>
      <c r="AU258" s="4">
        <v>4.2727278924289402E-2</v>
      </c>
      <c r="AV258" s="4">
        <v>3.1539810651123899E-2</v>
      </c>
      <c r="AW258" s="4">
        <v>5.4288887410228401E-2</v>
      </c>
      <c r="AX258" s="4">
        <v>6.0752893334085303E-2</v>
      </c>
      <c r="AY258" s="4">
        <v>3.9401611660155801E-2</v>
      </c>
      <c r="AZ258" s="4">
        <v>8.28182215530789E-2</v>
      </c>
      <c r="BA258" s="4">
        <v>8.8129727229720997E-2</v>
      </c>
      <c r="BB258" s="4">
        <v>9.4279690874003605E-2</v>
      </c>
      <c r="BC258" s="4">
        <v>8.1774091609416802E-2</v>
      </c>
      <c r="BD258" s="4">
        <v>0.121169333415774</v>
      </c>
      <c r="BE258" s="4">
        <v>8.8697256324511406E-2</v>
      </c>
      <c r="BF258" s="4">
        <v>0.15472736753819499</v>
      </c>
      <c r="BG258" s="4">
        <v>6.8224808436004203E-2</v>
      </c>
      <c r="BH258" s="4">
        <v>7.2337634984331697E-2</v>
      </c>
      <c r="BI258" s="4">
        <v>6.3974437470806098E-2</v>
      </c>
      <c r="BJ258" s="4">
        <v>6.8438232600350604E-2</v>
      </c>
      <c r="BK258" s="4">
        <v>5.7830639234769998E-2</v>
      </c>
      <c r="BL258" s="4">
        <v>7.94005735407987E-2</v>
      </c>
      <c r="BM258" s="4">
        <v>2.7525511770557301E-2</v>
      </c>
      <c r="BN258" s="4">
        <v>3.78997528094085E-2</v>
      </c>
      <c r="BO258" s="4">
        <v>1.6804327110963101E-2</v>
      </c>
      <c r="BP258" s="4">
        <v>3.8953278689125397E-2</v>
      </c>
      <c r="BQ258" s="4">
        <v>3.5544602665383201E-2</v>
      </c>
      <c r="BR258" s="4">
        <v>4.2475950367796798E-2</v>
      </c>
      <c r="BS258" s="4">
        <v>6.7921670705053699E-2</v>
      </c>
      <c r="BT258" s="4">
        <v>8.9209582392167697E-2</v>
      </c>
      <c r="BU258" s="4">
        <v>4.5921831742380598E-2</v>
      </c>
      <c r="BV258" s="4">
        <v>8.7402920093487199E-2</v>
      </c>
      <c r="BW258" s="4">
        <v>0.112110656986255</v>
      </c>
      <c r="BX258" s="4">
        <v>6.1868887410421097E-2</v>
      </c>
      <c r="BY258" s="4">
        <v>0.12481603128259</v>
      </c>
      <c r="BZ258" s="4">
        <v>0.145803777955505</v>
      </c>
      <c r="CA258" s="4">
        <v>0.10312639569128</v>
      </c>
      <c r="CB258" s="4">
        <v>6.6704031283651696E-2</v>
      </c>
      <c r="CC258" s="4">
        <v>6.7863256000604E-2</v>
      </c>
      <c r="CD258" s="4">
        <v>6.5506038851639706E-2</v>
      </c>
      <c r="CE258" s="4">
        <v>5.76575436677388E-2</v>
      </c>
      <c r="CF258" s="4">
        <v>7.3701029346716601E-2</v>
      </c>
      <c r="CG258" s="4">
        <v>4.1077518979309002E-2</v>
      </c>
      <c r="CH258" s="4">
        <v>2.33474960264583E-2</v>
      </c>
      <c r="CI258" s="4">
        <v>7.2544654362492996E-3</v>
      </c>
      <c r="CJ258" s="4">
        <v>3.99787225464499E-2</v>
      </c>
      <c r="CK258" s="4">
        <v>1.7815949275296498E-2</v>
      </c>
      <c r="CL258" s="4">
        <v>1.16851214400069E-2</v>
      </c>
      <c r="CM258" s="4">
        <v>2.4151809131662299E-2</v>
      </c>
      <c r="CN258" s="4">
        <v>2.0914653106837999E-2</v>
      </c>
      <c r="CO258" s="4">
        <v>1.7586409521225199E-2</v>
      </c>
      <c r="CP258" s="4">
        <v>2.4354202461806099E-2</v>
      </c>
      <c r="CQ258" s="4">
        <v>1.7498640158978999E-2</v>
      </c>
      <c r="CR258" s="4">
        <v>1.7254701717582199E-2</v>
      </c>
      <c r="CS258" s="4">
        <v>1.77507365837676E-2</v>
      </c>
      <c r="CT258" s="1">
        <f>Table1[[#This Row],[Female %]]*Table1[[#This Row],[NWS_pin]]</f>
        <v>0</v>
      </c>
      <c r="CU258" s="1">
        <f>Table1[[#This Row],[Male %]]*Table1[[#This Row],[NWS_pin]]</f>
        <v>0</v>
      </c>
      <c r="CV258" s="1">
        <f>Table1[[#This Row],[Female% (0-2)22]]+Table1[[#This Row],[Male%(0-2)3]]</f>
        <v>0</v>
      </c>
      <c r="CW258" s="1">
        <f>$CT258*Table1[[#This Row],[Female% (0-2)]]</f>
        <v>0</v>
      </c>
      <c r="CX258" s="1">
        <f>$CU258*Table1[[#This Row],[Male%(0-2)]]</f>
        <v>0</v>
      </c>
      <c r="CY258" s="1">
        <f>Table1[[#This Row],[Female%  (3-5)5]]+Table1[[#This Row],[Male% (3-5)6]]</f>
        <v>0</v>
      </c>
      <c r="CZ258" s="1">
        <f>$AF258*Table1[[#This Row],[Female%  (3-5)]]</f>
        <v>0</v>
      </c>
      <c r="DA258" s="1">
        <f>$CU258*Table1[[#This Row],[Male% (3-5)]]</f>
        <v>0</v>
      </c>
      <c r="DB258" s="1">
        <f>Table1[[#This Row],[Female% (6-8)8]]+Table1[[#This Row],[Male%(6-8)9]]</f>
        <v>0</v>
      </c>
      <c r="DC258" s="1">
        <f>$CT258*Table1[[#This Row],[Female% (6-8)]]</f>
        <v>0</v>
      </c>
      <c r="DD258" s="1">
        <f>$CU258*Table1[[#This Row],[Male%(6-8)]]</f>
        <v>0</v>
      </c>
      <c r="DE258" s="1">
        <f>Table1[[#This Row],[Female% (9 - 11)11]]+Table1[[#This Row],[Male% (9 - 11)12]]</f>
        <v>0</v>
      </c>
      <c r="DF258" s="1">
        <f>$CT258*Table1[[#This Row],[Female% (9 - 11)]]</f>
        <v>0</v>
      </c>
      <c r="DG258" s="1">
        <f>$CU258*Table1[[#This Row],[Male% (9 - 11)]]</f>
        <v>0</v>
      </c>
      <c r="DH258" s="1">
        <f>Table1[[#This Row],[Female% (12-14)14]]+Table1[[#This Row],[Male%(12-14)15]]</f>
        <v>0</v>
      </c>
      <c r="DI258" s="1">
        <f>$CT258*Table1[[#This Row],[Female% (12-14)]]</f>
        <v>0</v>
      </c>
      <c r="DJ258" s="1">
        <f>$CU258*Table1[[#This Row],[Male%(12-14)]]</f>
        <v>0</v>
      </c>
      <c r="DK258" s="1">
        <f>Table1[[#This Row],[Female% (15-17)17]]+Table1[[#This Row],[Male%(15-17)18]]</f>
        <v>0</v>
      </c>
      <c r="DL258" s="1">
        <f>$CT258*Table1[[#This Row],[Female% (15-17)]]</f>
        <v>0</v>
      </c>
      <c r="DM258" s="1">
        <f>$CU258*Table1[[#This Row],[Male%(15-17)]]</f>
        <v>0</v>
      </c>
      <c r="DN258" s="1">
        <f>$AF258*Table1[[#This Row],[Total% (18-19)]]</f>
        <v>0</v>
      </c>
      <c r="DO258" s="1">
        <f>$CT258*Table1[[#This Row],[Female% (18-19)]]</f>
        <v>0</v>
      </c>
      <c r="DP258" s="1">
        <f>$CU258*Table1[[#This Row],[Male%(18-19)]]</f>
        <v>0</v>
      </c>
      <c r="DQ258" s="1">
        <f>$AF258*Table1[[#This Row],[Total% (20-24)]]</f>
        <v>0</v>
      </c>
      <c r="DR258" s="1">
        <f>$CT258*Table1[[#This Row],[Female% (20-24)]]</f>
        <v>0</v>
      </c>
      <c r="DS258" s="1">
        <f>$CU258*Table1[[#This Row],[Male% (20-24)]]</f>
        <v>0</v>
      </c>
      <c r="DT258" s="1">
        <f>$AF258*Table1[[#This Row],[Total% (25-29)]]</f>
        <v>0</v>
      </c>
      <c r="DU258" s="1">
        <f>$CT258*Table1[[#This Row],[Female% (25-29)]]</f>
        <v>0</v>
      </c>
      <c r="DV258" s="1">
        <f>$CU258*Table1[[#This Row],[Male% (25-29)]]</f>
        <v>0</v>
      </c>
      <c r="DW258" s="1">
        <f>$AF258*Table1[[#This Row],[Total%   (30-34)]]</f>
        <v>0</v>
      </c>
      <c r="DX258" s="1">
        <f>$CT258*Table1[[#This Row],[Female%   (30-34)]]</f>
        <v>0</v>
      </c>
      <c r="DY258" s="1">
        <f>$CU258*Table1[[#This Row],[Male%  (30-34)]]</f>
        <v>0</v>
      </c>
      <c r="DZ258" s="1">
        <f>$AF258*Table1[[#This Row],[Total% (35-39)]]</f>
        <v>0</v>
      </c>
      <c r="EA258" s="1">
        <f>$CT258*Table1[[#This Row],[Female% (35-39)]]</f>
        <v>0</v>
      </c>
      <c r="EB258" s="1">
        <f>$CU258*Table1[[#This Row],[Male% (35-39)]]</f>
        <v>0</v>
      </c>
      <c r="EC258" s="1">
        <f>$AF258*Table1[[#This Row],[Total% (40-44)]]</f>
        <v>0</v>
      </c>
      <c r="ED258" s="1">
        <f>$CT258*Table1[[#This Row],[Female% (40-44)]]</f>
        <v>0</v>
      </c>
      <c r="EE258" s="1">
        <f>$CU258*Table1[[#This Row],[Male%(55-59)]]</f>
        <v>0</v>
      </c>
      <c r="EF258" s="1">
        <f>$AF258*Table1[[#This Row],[Total% (45-49)]]</f>
        <v>0</v>
      </c>
      <c r="EG258" s="1">
        <f>$CT258*Table1[[#This Row],[Female% (45-49)]]</f>
        <v>0</v>
      </c>
      <c r="EH258" s="1">
        <f>$CU258*Table1[[#This Row],[Male% (45-49)]]</f>
        <v>0</v>
      </c>
      <c r="EI258" s="1">
        <f>$AF258*Table1[[#This Row],[Total% (50-54)]]</f>
        <v>0</v>
      </c>
      <c r="EJ258" s="1">
        <f>$CT258*Table1[[#This Row],[Female%(50-54)]]</f>
        <v>0</v>
      </c>
      <c r="EK258" s="1">
        <f>$CU258*Table1[[#This Row],[Male% (50-54)]]</f>
        <v>0</v>
      </c>
      <c r="EL258" s="1">
        <f>$AF258*Table1[[#This Row],[Total% (55-59)]]</f>
        <v>0</v>
      </c>
      <c r="EM258" s="1">
        <f>$CT258*Table1[[#This Row],[Female% (55-59)]]</f>
        <v>0</v>
      </c>
      <c r="EN258" s="1">
        <f>$CU258*Table1[[#This Row],[Male% (55-59)]]</f>
        <v>0</v>
      </c>
      <c r="EO258" s="1">
        <f>$AF258*Table1[[#This Row],[Total% (60-64)]]</f>
        <v>0</v>
      </c>
      <c r="EP258" s="1">
        <f>$CT258*Table1[[#This Row],[Female%(60-64)]]</f>
        <v>0</v>
      </c>
      <c r="EQ258" s="1">
        <f>$CU258*Table1[[#This Row],[Male%(60-64)]]</f>
        <v>0</v>
      </c>
      <c r="ER258" s="1">
        <f>$AF258*Table1[[#This Row],[Total% (&gt;=65)]]</f>
        <v>0</v>
      </c>
      <c r="ES258" s="1">
        <f>$CT258*Table1[[#This Row],[Female%(&gt;=65)]]</f>
        <v>0</v>
      </c>
      <c r="ET258" s="1">
        <f>$CU258*Table1[[#This Row],[Male% (&gt;=65)]]</f>
        <v>0</v>
      </c>
    </row>
    <row r="259" spans="1:150" hidden="1" x14ac:dyDescent="0.35">
      <c r="A259" t="s">
        <v>205</v>
      </c>
      <c r="B259" t="s">
        <v>206</v>
      </c>
      <c r="C259" t="s">
        <v>205</v>
      </c>
      <c r="D259" t="s">
        <v>367</v>
      </c>
      <c r="E259" t="s">
        <v>482</v>
      </c>
      <c r="F259" t="s">
        <v>483</v>
      </c>
      <c r="H259">
        <v>3</v>
      </c>
      <c r="I259" s="1">
        <v>0</v>
      </c>
      <c r="J259" s="1">
        <v>0</v>
      </c>
      <c r="K259" s="1">
        <v>14424</v>
      </c>
      <c r="L259" s="1">
        <v>0</v>
      </c>
      <c r="M259" s="1">
        <v>0</v>
      </c>
      <c r="N259" s="1">
        <v>14424</v>
      </c>
      <c r="O259" s="3">
        <v>1</v>
      </c>
      <c r="P259" s="3">
        <v>0</v>
      </c>
      <c r="Q259" s="3">
        <v>0</v>
      </c>
      <c r="R259" s="3">
        <v>0</v>
      </c>
      <c r="S259" s="3">
        <v>0</v>
      </c>
      <c r="T259" s="1">
        <v>14424</v>
      </c>
      <c r="U259" s="1">
        <v>0</v>
      </c>
      <c r="V259" s="10">
        <f>Table1[[#This Row],[Pop NW+RATAA]]*Table1[[#This Row],[Perc_pop_Northern_Aleppo]]</f>
        <v>0</v>
      </c>
      <c r="W259" s="10">
        <f>Table1[[#This Row],[Pop NW+RATAA]]*Table1[[#This Row],[Perc_pop_Afrin District]]</f>
        <v>0</v>
      </c>
      <c r="X259" s="10">
        <f>Table1[[#This Row],[Pop NW+RATAA]]*Table1[[#This Row],[Perc_pop_Euphrates Shiled]]</f>
        <v>0</v>
      </c>
      <c r="Y259" s="10">
        <f>Table1[[#This Row],[Pop NW+RATAA]]*Table1[[#This Row],[Perc_Pop_Idleb_NSAG]]</f>
        <v>0</v>
      </c>
      <c r="Z259" s="3">
        <v>0</v>
      </c>
      <c r="AA259" s="3">
        <v>0</v>
      </c>
      <c r="AB259" s="3">
        <v>0</v>
      </c>
      <c r="AC259" s="3">
        <v>0</v>
      </c>
      <c r="AD259" s="1">
        <v>14424</v>
      </c>
      <c r="AE259" s="1">
        <v>0</v>
      </c>
      <c r="AF259" s="1">
        <v>0</v>
      </c>
      <c r="AG259" s="1">
        <v>0</v>
      </c>
      <c r="AH259" s="1">
        <v>0</v>
      </c>
      <c r="AI259" s="1">
        <f>Table1[[#This Row],[NWS_pin]]*Table1[[#This Row],[Perc_pop_Northern_Aleppo]]</f>
        <v>0</v>
      </c>
      <c r="AJ259" s="1">
        <f>Table1[[#This Row],[NWS_pin]]*Table1[[#This Row],[Perc_pop_Afrin District]]</f>
        <v>0</v>
      </c>
      <c r="AK259" s="1">
        <f>Table1[[#This Row],[NWS_pin]]*Table1[[#This Row],[Perc_pop_Euphrates Shiled]]</f>
        <v>0</v>
      </c>
      <c r="AL259" s="1">
        <f>Table1[[#This Row],[NWS_pin]]*Table1[[#This Row],[Perc_Pop_Idleb_NSAG]]</f>
        <v>0</v>
      </c>
      <c r="AM259" s="4">
        <v>0.50385382421630498</v>
      </c>
      <c r="AN259" s="4">
        <v>0.49614617578369502</v>
      </c>
      <c r="AO259" s="4">
        <v>0.149464831804281</v>
      </c>
      <c r="AP259" s="4">
        <v>0.438978893826104</v>
      </c>
      <c r="AQ259" s="4">
        <v>0.53488139055574502</v>
      </c>
      <c r="AR259" s="4">
        <v>1.40966385991567E-2</v>
      </c>
      <c r="AS259" s="4">
        <v>0</v>
      </c>
      <c r="AT259" s="4">
        <v>1.2043077018993599E-2</v>
      </c>
      <c r="AU259" s="4">
        <v>6.7169889914794501E-2</v>
      </c>
      <c r="AV259" s="4">
        <v>6.7544523630804099E-2</v>
      </c>
      <c r="AW259" s="4">
        <v>6.6789436250723505E-2</v>
      </c>
      <c r="AX259" s="4">
        <v>3.5142647719430598E-2</v>
      </c>
      <c r="AY259" s="4">
        <v>2.3793776045414401E-2</v>
      </c>
      <c r="AZ259" s="4">
        <v>4.6667824517298603E-2</v>
      </c>
      <c r="BA259" s="4">
        <v>0.100843457491487</v>
      </c>
      <c r="BB259" s="4">
        <v>0.15142120286604299</v>
      </c>
      <c r="BC259" s="4">
        <v>4.9479985049205401E-2</v>
      </c>
      <c r="BD259" s="4">
        <v>0.104095752916778</v>
      </c>
      <c r="BE259" s="4">
        <v>7.9661295514654396E-2</v>
      </c>
      <c r="BF259" s="4">
        <v>0.128909800481014</v>
      </c>
      <c r="BG259" s="4">
        <v>0.101659735906363</v>
      </c>
      <c r="BH259" s="4">
        <v>8.2500617696882994E-2</v>
      </c>
      <c r="BI259" s="4">
        <v>0.12111649169654901</v>
      </c>
      <c r="BJ259" s="4">
        <v>5.37033624570981E-2</v>
      </c>
      <c r="BK259" s="4">
        <v>5.1092447324919597E-2</v>
      </c>
      <c r="BL259" s="4">
        <v>5.63548382484301E-2</v>
      </c>
      <c r="BM259" s="4">
        <v>5.8605850834385301E-3</v>
      </c>
      <c r="BN259" s="4">
        <v>8.5532321809088391E-3</v>
      </c>
      <c r="BO259" s="4">
        <v>3.12610761783607E-3</v>
      </c>
      <c r="BP259" s="4">
        <v>1.67444372510086E-2</v>
      </c>
      <c r="BQ259" s="4">
        <v>2.23780187371929E-2</v>
      </c>
      <c r="BR259" s="4">
        <v>1.1023337876687E-2</v>
      </c>
      <c r="BS259" s="4">
        <v>7.5628510069010293E-2</v>
      </c>
      <c r="BT259" s="4">
        <v>8.3132942800062407E-2</v>
      </c>
      <c r="BU259" s="4">
        <v>6.8007495709397195E-2</v>
      </c>
      <c r="BV259" s="4">
        <v>8.7205541402211401E-2</v>
      </c>
      <c r="BW259" s="4">
        <v>0.113161805791714</v>
      </c>
      <c r="BX259" s="4">
        <v>6.0846045525089203E-2</v>
      </c>
      <c r="BY259" s="4">
        <v>0.118787968770008</v>
      </c>
      <c r="BZ259" s="4">
        <v>0.155635270704754</v>
      </c>
      <c r="CA259" s="4">
        <v>8.1368242693213397E-2</v>
      </c>
      <c r="CB259" s="4">
        <v>0.104607310963864</v>
      </c>
      <c r="CC259" s="4">
        <v>6.7743309519234199E-2</v>
      </c>
      <c r="CD259" s="4">
        <v>0.142043995978021</v>
      </c>
      <c r="CE259" s="4">
        <v>4.6752166646238498E-2</v>
      </c>
      <c r="CF259" s="4">
        <v>3.3588323460783401E-2</v>
      </c>
      <c r="CG259" s="4">
        <v>6.0120510602328897E-2</v>
      </c>
      <c r="CH259" s="4">
        <v>3.1271032678054901E-2</v>
      </c>
      <c r="CI259" s="4">
        <v>2.9384519500689502E-2</v>
      </c>
      <c r="CJ259" s="4">
        <v>3.31868529045206E-2</v>
      </c>
      <c r="CK259" s="4">
        <v>1.97635071148493E-2</v>
      </c>
      <c r="CL259" s="4">
        <v>8.5532321809088391E-3</v>
      </c>
      <c r="CM259" s="4">
        <v>3.1147934067370198E-2</v>
      </c>
      <c r="CN259" s="4">
        <v>1.5308176207934E-2</v>
      </c>
      <c r="CO259" s="4">
        <v>7.2866958771973401E-3</v>
      </c>
      <c r="CP259" s="4">
        <v>2.3454270520025699E-2</v>
      </c>
      <c r="CQ259" s="4">
        <v>1.5455917407431701E-2</v>
      </c>
      <c r="CR259" s="4">
        <v>1.4568786167835799E-2</v>
      </c>
      <c r="CS259" s="4">
        <v>1.63568302622897E-2</v>
      </c>
      <c r="CT259" s="1">
        <f>Table1[[#This Row],[Female %]]*Table1[[#This Row],[NWS_pin]]</f>
        <v>0</v>
      </c>
      <c r="CU259" s="1">
        <f>Table1[[#This Row],[Male %]]*Table1[[#This Row],[NWS_pin]]</f>
        <v>0</v>
      </c>
      <c r="CV259" s="1">
        <f>Table1[[#This Row],[Female% (0-2)22]]+Table1[[#This Row],[Male%(0-2)3]]</f>
        <v>0</v>
      </c>
      <c r="CW259" s="1">
        <f>$CT259*Table1[[#This Row],[Female% (0-2)]]</f>
        <v>0</v>
      </c>
      <c r="CX259" s="1">
        <f>$CU259*Table1[[#This Row],[Male%(0-2)]]</f>
        <v>0</v>
      </c>
      <c r="CY259" s="1">
        <f>Table1[[#This Row],[Female%  (3-5)5]]+Table1[[#This Row],[Male% (3-5)6]]</f>
        <v>0</v>
      </c>
      <c r="CZ259" s="1">
        <f>$AF259*Table1[[#This Row],[Female%  (3-5)]]</f>
        <v>0</v>
      </c>
      <c r="DA259" s="1">
        <f>$CU259*Table1[[#This Row],[Male% (3-5)]]</f>
        <v>0</v>
      </c>
      <c r="DB259" s="1">
        <f>Table1[[#This Row],[Female% (6-8)8]]+Table1[[#This Row],[Male%(6-8)9]]</f>
        <v>0</v>
      </c>
      <c r="DC259" s="1">
        <f>$CT259*Table1[[#This Row],[Female% (6-8)]]</f>
        <v>0</v>
      </c>
      <c r="DD259" s="1">
        <f>$CU259*Table1[[#This Row],[Male%(6-8)]]</f>
        <v>0</v>
      </c>
      <c r="DE259" s="1">
        <f>Table1[[#This Row],[Female% (9 - 11)11]]+Table1[[#This Row],[Male% (9 - 11)12]]</f>
        <v>0</v>
      </c>
      <c r="DF259" s="1">
        <f>$CT259*Table1[[#This Row],[Female% (9 - 11)]]</f>
        <v>0</v>
      </c>
      <c r="DG259" s="1">
        <f>$CU259*Table1[[#This Row],[Male% (9 - 11)]]</f>
        <v>0</v>
      </c>
      <c r="DH259" s="1">
        <f>Table1[[#This Row],[Female% (12-14)14]]+Table1[[#This Row],[Male%(12-14)15]]</f>
        <v>0</v>
      </c>
      <c r="DI259" s="1">
        <f>$CT259*Table1[[#This Row],[Female% (12-14)]]</f>
        <v>0</v>
      </c>
      <c r="DJ259" s="1">
        <f>$CU259*Table1[[#This Row],[Male%(12-14)]]</f>
        <v>0</v>
      </c>
      <c r="DK259" s="1">
        <f>Table1[[#This Row],[Female% (15-17)17]]+Table1[[#This Row],[Male%(15-17)18]]</f>
        <v>0</v>
      </c>
      <c r="DL259" s="1">
        <f>$CT259*Table1[[#This Row],[Female% (15-17)]]</f>
        <v>0</v>
      </c>
      <c r="DM259" s="1">
        <f>$CU259*Table1[[#This Row],[Male%(15-17)]]</f>
        <v>0</v>
      </c>
      <c r="DN259" s="1">
        <f>$AF259*Table1[[#This Row],[Total% (18-19)]]</f>
        <v>0</v>
      </c>
      <c r="DO259" s="1">
        <f>$CT259*Table1[[#This Row],[Female% (18-19)]]</f>
        <v>0</v>
      </c>
      <c r="DP259" s="1">
        <f>$CU259*Table1[[#This Row],[Male%(18-19)]]</f>
        <v>0</v>
      </c>
      <c r="DQ259" s="1">
        <f>$AF259*Table1[[#This Row],[Total% (20-24)]]</f>
        <v>0</v>
      </c>
      <c r="DR259" s="1">
        <f>$CT259*Table1[[#This Row],[Female% (20-24)]]</f>
        <v>0</v>
      </c>
      <c r="DS259" s="1">
        <f>$CU259*Table1[[#This Row],[Male% (20-24)]]</f>
        <v>0</v>
      </c>
      <c r="DT259" s="1">
        <f>$AF259*Table1[[#This Row],[Total% (25-29)]]</f>
        <v>0</v>
      </c>
      <c r="DU259" s="1">
        <f>$CT259*Table1[[#This Row],[Female% (25-29)]]</f>
        <v>0</v>
      </c>
      <c r="DV259" s="1">
        <f>$CU259*Table1[[#This Row],[Male% (25-29)]]</f>
        <v>0</v>
      </c>
      <c r="DW259" s="1">
        <f>$AF259*Table1[[#This Row],[Total%   (30-34)]]</f>
        <v>0</v>
      </c>
      <c r="DX259" s="1">
        <f>$CT259*Table1[[#This Row],[Female%   (30-34)]]</f>
        <v>0</v>
      </c>
      <c r="DY259" s="1">
        <f>$CU259*Table1[[#This Row],[Male%  (30-34)]]</f>
        <v>0</v>
      </c>
      <c r="DZ259" s="1">
        <f>$AF259*Table1[[#This Row],[Total% (35-39)]]</f>
        <v>0</v>
      </c>
      <c r="EA259" s="1">
        <f>$CT259*Table1[[#This Row],[Female% (35-39)]]</f>
        <v>0</v>
      </c>
      <c r="EB259" s="1">
        <f>$CU259*Table1[[#This Row],[Male% (35-39)]]</f>
        <v>0</v>
      </c>
      <c r="EC259" s="1">
        <f>$AF259*Table1[[#This Row],[Total% (40-44)]]</f>
        <v>0</v>
      </c>
      <c r="ED259" s="1">
        <f>$CT259*Table1[[#This Row],[Female% (40-44)]]</f>
        <v>0</v>
      </c>
      <c r="EE259" s="1">
        <f>$CU259*Table1[[#This Row],[Male%(55-59)]]</f>
        <v>0</v>
      </c>
      <c r="EF259" s="1">
        <f>$AF259*Table1[[#This Row],[Total% (45-49)]]</f>
        <v>0</v>
      </c>
      <c r="EG259" s="1">
        <f>$CT259*Table1[[#This Row],[Female% (45-49)]]</f>
        <v>0</v>
      </c>
      <c r="EH259" s="1">
        <f>$CU259*Table1[[#This Row],[Male% (45-49)]]</f>
        <v>0</v>
      </c>
      <c r="EI259" s="1">
        <f>$AF259*Table1[[#This Row],[Total% (50-54)]]</f>
        <v>0</v>
      </c>
      <c r="EJ259" s="1">
        <f>$CT259*Table1[[#This Row],[Female%(50-54)]]</f>
        <v>0</v>
      </c>
      <c r="EK259" s="1">
        <f>$CU259*Table1[[#This Row],[Male% (50-54)]]</f>
        <v>0</v>
      </c>
      <c r="EL259" s="1">
        <f>$AF259*Table1[[#This Row],[Total% (55-59)]]</f>
        <v>0</v>
      </c>
      <c r="EM259" s="1">
        <f>$CT259*Table1[[#This Row],[Female% (55-59)]]</f>
        <v>0</v>
      </c>
      <c r="EN259" s="1">
        <f>$CU259*Table1[[#This Row],[Male% (55-59)]]</f>
        <v>0</v>
      </c>
      <c r="EO259" s="1">
        <f>$AF259*Table1[[#This Row],[Total% (60-64)]]</f>
        <v>0</v>
      </c>
      <c r="EP259" s="1">
        <f>$CT259*Table1[[#This Row],[Female%(60-64)]]</f>
        <v>0</v>
      </c>
      <c r="EQ259" s="1">
        <f>$CU259*Table1[[#This Row],[Male%(60-64)]]</f>
        <v>0</v>
      </c>
      <c r="ER259" s="1">
        <f>$AF259*Table1[[#This Row],[Total% (&gt;=65)]]</f>
        <v>0</v>
      </c>
      <c r="ES259" s="1">
        <f>$CT259*Table1[[#This Row],[Female%(&gt;=65)]]</f>
        <v>0</v>
      </c>
      <c r="ET259" s="1">
        <f>$CU259*Table1[[#This Row],[Male% (&gt;=65)]]</f>
        <v>0</v>
      </c>
    </row>
    <row r="260" spans="1:150" hidden="1" x14ac:dyDescent="0.35">
      <c r="A260" t="s">
        <v>205</v>
      </c>
      <c r="B260" t="s">
        <v>206</v>
      </c>
      <c r="C260" t="s">
        <v>207</v>
      </c>
      <c r="D260" t="s">
        <v>208</v>
      </c>
      <c r="E260" t="s">
        <v>207</v>
      </c>
      <c r="F260" t="s">
        <v>432</v>
      </c>
      <c r="H260">
        <v>3</v>
      </c>
      <c r="I260" s="1">
        <v>0</v>
      </c>
      <c r="J260" s="1">
        <v>3127</v>
      </c>
      <c r="K260" s="1">
        <v>24045</v>
      </c>
      <c r="L260" s="1">
        <v>380</v>
      </c>
      <c r="M260" s="1">
        <v>0</v>
      </c>
      <c r="N260" s="1">
        <v>24425</v>
      </c>
      <c r="O260" s="3">
        <v>1</v>
      </c>
      <c r="P260" s="3">
        <v>0</v>
      </c>
      <c r="Q260" s="3">
        <v>0</v>
      </c>
      <c r="R260" s="3">
        <v>0</v>
      </c>
      <c r="S260" s="3">
        <v>0</v>
      </c>
      <c r="T260" s="1">
        <v>27552</v>
      </c>
      <c r="U260" s="1">
        <v>0</v>
      </c>
      <c r="V260" s="10">
        <f>Table1[[#This Row],[Pop NW+RATAA]]*Table1[[#This Row],[Perc_pop_Northern_Aleppo]]</f>
        <v>0</v>
      </c>
      <c r="W260" s="10">
        <f>Table1[[#This Row],[Pop NW+RATAA]]*Table1[[#This Row],[Perc_pop_Afrin District]]</f>
        <v>0</v>
      </c>
      <c r="X260" s="10">
        <f>Table1[[#This Row],[Pop NW+RATAA]]*Table1[[#This Row],[Perc_pop_Euphrates Shiled]]</f>
        <v>0</v>
      </c>
      <c r="Y260" s="10">
        <f>Table1[[#This Row],[Pop NW+RATAA]]*Table1[[#This Row],[Perc_Pop_Idleb_NSAG]]</f>
        <v>0</v>
      </c>
      <c r="Z260" s="3">
        <v>0</v>
      </c>
      <c r="AA260" s="3">
        <v>0</v>
      </c>
      <c r="AB260" s="3">
        <v>0</v>
      </c>
      <c r="AC260" s="3">
        <v>0</v>
      </c>
      <c r="AD260" s="1">
        <v>24425</v>
      </c>
      <c r="AE260" s="1">
        <v>0</v>
      </c>
      <c r="AF260" s="1">
        <v>0</v>
      </c>
      <c r="AG260" s="1">
        <v>0</v>
      </c>
      <c r="AH260" s="1">
        <v>0</v>
      </c>
      <c r="AI260" s="1">
        <f>Table1[[#This Row],[NWS_pin]]*Table1[[#This Row],[Perc_pop_Northern_Aleppo]]</f>
        <v>0</v>
      </c>
      <c r="AJ260" s="1">
        <f>Table1[[#This Row],[NWS_pin]]*Table1[[#This Row],[Perc_pop_Afrin District]]</f>
        <v>0</v>
      </c>
      <c r="AK260" s="1">
        <f>Table1[[#This Row],[NWS_pin]]*Table1[[#This Row],[Perc_pop_Euphrates Shiled]]</f>
        <v>0</v>
      </c>
      <c r="AL260" s="1">
        <f>Table1[[#This Row],[NWS_pin]]*Table1[[#This Row],[Perc_Pop_Idleb_NSAG]]</f>
        <v>0</v>
      </c>
      <c r="AM260" s="4">
        <v>0.53035290040912197</v>
      </c>
      <c r="AN260" s="4">
        <v>0.46964709959087803</v>
      </c>
      <c r="AO260" s="4">
        <v>0.207742132600061</v>
      </c>
      <c r="AP260" s="4">
        <v>0.39220561211596999</v>
      </c>
      <c r="AQ260" s="4">
        <v>0.53950254449617197</v>
      </c>
      <c r="AR260" s="4">
        <v>1.31830878100829E-2</v>
      </c>
      <c r="AS260" s="4">
        <v>0</v>
      </c>
      <c r="AT260" s="4">
        <v>5.5108755577775101E-2</v>
      </c>
      <c r="AU260" s="4">
        <v>5.9688226336029201E-2</v>
      </c>
      <c r="AV260" s="4">
        <v>5.5552043661218901E-2</v>
      </c>
      <c r="AW260" s="4">
        <v>6.4359045085082403E-2</v>
      </c>
      <c r="AX260" s="4">
        <v>8.4064687054274806E-2</v>
      </c>
      <c r="AY260" s="4">
        <v>5.6668151776543697E-2</v>
      </c>
      <c r="AZ260" s="4">
        <v>0.115002452790213</v>
      </c>
      <c r="BA260" s="4">
        <v>3.6213206797204398E-2</v>
      </c>
      <c r="BB260" s="4">
        <v>4.5755881313255198E-2</v>
      </c>
      <c r="BC260" s="4">
        <v>2.54370620884295E-2</v>
      </c>
      <c r="BD260" s="4">
        <v>4.1262725715668101E-2</v>
      </c>
      <c r="BE260" s="4">
        <v>3.68669677006302E-2</v>
      </c>
      <c r="BF260" s="4">
        <v>4.6226672080508603E-2</v>
      </c>
      <c r="BG260" s="4">
        <v>5.2022623732926702E-2</v>
      </c>
      <c r="BH260" s="4">
        <v>5.3067982463903499E-2</v>
      </c>
      <c r="BI260" s="4">
        <v>5.08421436758274E-2</v>
      </c>
      <c r="BJ260" s="4">
        <v>6.5021239252305393E-2</v>
      </c>
      <c r="BK260" s="4">
        <v>5.8321326868975398E-2</v>
      </c>
      <c r="BL260" s="4">
        <v>7.2587171136227202E-2</v>
      </c>
      <c r="BM260" s="4">
        <v>5.9772711302264699E-2</v>
      </c>
      <c r="BN260" s="4">
        <v>7.8204436415972994E-2</v>
      </c>
      <c r="BO260" s="4">
        <v>3.8958532140689103E-2</v>
      </c>
      <c r="BP260" s="4">
        <v>6.7118343858640295E-2</v>
      </c>
      <c r="BQ260" s="4">
        <v>7.7925788671730195E-2</v>
      </c>
      <c r="BR260" s="4">
        <v>5.4913946753607903E-2</v>
      </c>
      <c r="BS260" s="4">
        <v>9.0999964060363606E-2</v>
      </c>
      <c r="BT260" s="4">
        <v>0.103756080564092</v>
      </c>
      <c r="BU260" s="4">
        <v>7.6595013211944493E-2</v>
      </c>
      <c r="BV260" s="4">
        <v>4.7431737488312899E-2</v>
      </c>
      <c r="BW260" s="4">
        <v>6.0139870041928598E-2</v>
      </c>
      <c r="BX260" s="4">
        <v>3.3080972915371001E-2</v>
      </c>
      <c r="BY260" s="4">
        <v>7.9747907589002895E-2</v>
      </c>
      <c r="BZ260" s="4">
        <v>7.1679730070744199E-2</v>
      </c>
      <c r="CA260" s="4">
        <v>8.8858964277209296E-2</v>
      </c>
      <c r="CB260" s="4">
        <v>9.0694745356947604E-2</v>
      </c>
      <c r="CC260" s="4">
        <v>9.8943211994293498E-2</v>
      </c>
      <c r="CD260" s="4">
        <v>8.1380095678806094E-2</v>
      </c>
      <c r="CE260" s="4">
        <v>6.2387185749451401E-2</v>
      </c>
      <c r="CF260" s="4">
        <v>3.96939021658161E-2</v>
      </c>
      <c r="CG260" s="4">
        <v>8.8013765321372603E-2</v>
      </c>
      <c r="CH260" s="4">
        <v>4.5275627508734102E-2</v>
      </c>
      <c r="CI260" s="4">
        <v>5.1217073672744202E-2</v>
      </c>
      <c r="CJ260" s="4">
        <v>3.8566199922675702E-2</v>
      </c>
      <c r="CK260" s="4">
        <v>3.7600905893403001E-2</v>
      </c>
      <c r="CL260" s="4">
        <v>3.8927241584559999E-2</v>
      </c>
      <c r="CM260" s="4">
        <v>3.6103130262862597E-2</v>
      </c>
      <c r="CN260" s="4">
        <v>1.51839599793374E-2</v>
      </c>
      <c r="CO260" s="4">
        <v>2.2797532323896901E-2</v>
      </c>
      <c r="CP260" s="4">
        <v>6.5862699713945799E-3</v>
      </c>
      <c r="CQ260" s="4">
        <v>6.5514202325133594E-2</v>
      </c>
      <c r="CR260" s="4">
        <v>5.0482778709694101E-2</v>
      </c>
      <c r="CS260" s="4">
        <v>8.2488562687778405E-2</v>
      </c>
      <c r="CT260" s="1">
        <f>Table1[[#This Row],[Female %]]*Table1[[#This Row],[NWS_pin]]</f>
        <v>0</v>
      </c>
      <c r="CU260" s="1">
        <f>Table1[[#This Row],[Male %]]*Table1[[#This Row],[NWS_pin]]</f>
        <v>0</v>
      </c>
      <c r="CV260" s="1">
        <f>Table1[[#This Row],[Female% (0-2)22]]+Table1[[#This Row],[Male%(0-2)3]]</f>
        <v>0</v>
      </c>
      <c r="CW260" s="1">
        <f>$CT260*Table1[[#This Row],[Female% (0-2)]]</f>
        <v>0</v>
      </c>
      <c r="CX260" s="1">
        <f>$CU260*Table1[[#This Row],[Male%(0-2)]]</f>
        <v>0</v>
      </c>
      <c r="CY260" s="1">
        <f>Table1[[#This Row],[Female%  (3-5)5]]+Table1[[#This Row],[Male% (3-5)6]]</f>
        <v>0</v>
      </c>
      <c r="CZ260" s="1">
        <f>$AF260*Table1[[#This Row],[Female%  (3-5)]]</f>
        <v>0</v>
      </c>
      <c r="DA260" s="1">
        <f>$CU260*Table1[[#This Row],[Male% (3-5)]]</f>
        <v>0</v>
      </c>
      <c r="DB260" s="1">
        <f>Table1[[#This Row],[Female% (6-8)8]]+Table1[[#This Row],[Male%(6-8)9]]</f>
        <v>0</v>
      </c>
      <c r="DC260" s="1">
        <f>$CT260*Table1[[#This Row],[Female% (6-8)]]</f>
        <v>0</v>
      </c>
      <c r="DD260" s="1">
        <f>$CU260*Table1[[#This Row],[Male%(6-8)]]</f>
        <v>0</v>
      </c>
      <c r="DE260" s="1">
        <f>Table1[[#This Row],[Female% (9 - 11)11]]+Table1[[#This Row],[Male% (9 - 11)12]]</f>
        <v>0</v>
      </c>
      <c r="DF260" s="1">
        <f>$CT260*Table1[[#This Row],[Female% (9 - 11)]]</f>
        <v>0</v>
      </c>
      <c r="DG260" s="1">
        <f>$CU260*Table1[[#This Row],[Male% (9 - 11)]]</f>
        <v>0</v>
      </c>
      <c r="DH260" s="1">
        <f>Table1[[#This Row],[Female% (12-14)14]]+Table1[[#This Row],[Male%(12-14)15]]</f>
        <v>0</v>
      </c>
      <c r="DI260" s="1">
        <f>$CT260*Table1[[#This Row],[Female% (12-14)]]</f>
        <v>0</v>
      </c>
      <c r="DJ260" s="1">
        <f>$CU260*Table1[[#This Row],[Male%(12-14)]]</f>
        <v>0</v>
      </c>
      <c r="DK260" s="1">
        <f>Table1[[#This Row],[Female% (15-17)17]]+Table1[[#This Row],[Male%(15-17)18]]</f>
        <v>0</v>
      </c>
      <c r="DL260" s="1">
        <f>$CT260*Table1[[#This Row],[Female% (15-17)]]</f>
        <v>0</v>
      </c>
      <c r="DM260" s="1">
        <f>$CU260*Table1[[#This Row],[Male%(15-17)]]</f>
        <v>0</v>
      </c>
      <c r="DN260" s="1">
        <f>$AF260*Table1[[#This Row],[Total% (18-19)]]</f>
        <v>0</v>
      </c>
      <c r="DO260" s="1">
        <f>$CT260*Table1[[#This Row],[Female% (18-19)]]</f>
        <v>0</v>
      </c>
      <c r="DP260" s="1">
        <f>$CU260*Table1[[#This Row],[Male%(18-19)]]</f>
        <v>0</v>
      </c>
      <c r="DQ260" s="1">
        <f>$AF260*Table1[[#This Row],[Total% (20-24)]]</f>
        <v>0</v>
      </c>
      <c r="DR260" s="1">
        <f>$CT260*Table1[[#This Row],[Female% (20-24)]]</f>
        <v>0</v>
      </c>
      <c r="DS260" s="1">
        <f>$CU260*Table1[[#This Row],[Male% (20-24)]]</f>
        <v>0</v>
      </c>
      <c r="DT260" s="1">
        <f>$AF260*Table1[[#This Row],[Total% (25-29)]]</f>
        <v>0</v>
      </c>
      <c r="DU260" s="1">
        <f>$CT260*Table1[[#This Row],[Female% (25-29)]]</f>
        <v>0</v>
      </c>
      <c r="DV260" s="1">
        <f>$CU260*Table1[[#This Row],[Male% (25-29)]]</f>
        <v>0</v>
      </c>
      <c r="DW260" s="1">
        <f>$AF260*Table1[[#This Row],[Total%   (30-34)]]</f>
        <v>0</v>
      </c>
      <c r="DX260" s="1">
        <f>$CT260*Table1[[#This Row],[Female%   (30-34)]]</f>
        <v>0</v>
      </c>
      <c r="DY260" s="1">
        <f>$CU260*Table1[[#This Row],[Male%  (30-34)]]</f>
        <v>0</v>
      </c>
      <c r="DZ260" s="1">
        <f>$AF260*Table1[[#This Row],[Total% (35-39)]]</f>
        <v>0</v>
      </c>
      <c r="EA260" s="1">
        <f>$CT260*Table1[[#This Row],[Female% (35-39)]]</f>
        <v>0</v>
      </c>
      <c r="EB260" s="1">
        <f>$CU260*Table1[[#This Row],[Male% (35-39)]]</f>
        <v>0</v>
      </c>
      <c r="EC260" s="1">
        <f>$AF260*Table1[[#This Row],[Total% (40-44)]]</f>
        <v>0</v>
      </c>
      <c r="ED260" s="1">
        <f>$CT260*Table1[[#This Row],[Female% (40-44)]]</f>
        <v>0</v>
      </c>
      <c r="EE260" s="1">
        <f>$CU260*Table1[[#This Row],[Male%(55-59)]]</f>
        <v>0</v>
      </c>
      <c r="EF260" s="1">
        <f>$AF260*Table1[[#This Row],[Total% (45-49)]]</f>
        <v>0</v>
      </c>
      <c r="EG260" s="1">
        <f>$CT260*Table1[[#This Row],[Female% (45-49)]]</f>
        <v>0</v>
      </c>
      <c r="EH260" s="1">
        <f>$CU260*Table1[[#This Row],[Male% (45-49)]]</f>
        <v>0</v>
      </c>
      <c r="EI260" s="1">
        <f>$AF260*Table1[[#This Row],[Total% (50-54)]]</f>
        <v>0</v>
      </c>
      <c r="EJ260" s="1">
        <f>$CT260*Table1[[#This Row],[Female%(50-54)]]</f>
        <v>0</v>
      </c>
      <c r="EK260" s="1">
        <f>$CU260*Table1[[#This Row],[Male% (50-54)]]</f>
        <v>0</v>
      </c>
      <c r="EL260" s="1">
        <f>$AF260*Table1[[#This Row],[Total% (55-59)]]</f>
        <v>0</v>
      </c>
      <c r="EM260" s="1">
        <f>$CT260*Table1[[#This Row],[Female% (55-59)]]</f>
        <v>0</v>
      </c>
      <c r="EN260" s="1">
        <f>$CU260*Table1[[#This Row],[Male% (55-59)]]</f>
        <v>0</v>
      </c>
      <c r="EO260" s="1">
        <f>$AF260*Table1[[#This Row],[Total% (60-64)]]</f>
        <v>0</v>
      </c>
      <c r="EP260" s="1">
        <f>$CT260*Table1[[#This Row],[Female%(60-64)]]</f>
        <v>0</v>
      </c>
      <c r="EQ260" s="1">
        <f>$CU260*Table1[[#This Row],[Male%(60-64)]]</f>
        <v>0</v>
      </c>
      <c r="ER260" s="1">
        <f>$AF260*Table1[[#This Row],[Total% (&gt;=65)]]</f>
        <v>0</v>
      </c>
      <c r="ES260" s="1">
        <f>$CT260*Table1[[#This Row],[Female%(&gt;=65)]]</f>
        <v>0</v>
      </c>
      <c r="ET260" s="1">
        <f>$CU260*Table1[[#This Row],[Male% (&gt;=65)]]</f>
        <v>0</v>
      </c>
    </row>
    <row r="261" spans="1:150" hidden="1" x14ac:dyDescent="0.35">
      <c r="A261" t="s">
        <v>205</v>
      </c>
      <c r="B261" t="s">
        <v>206</v>
      </c>
      <c r="C261" t="s">
        <v>207</v>
      </c>
      <c r="D261" t="s">
        <v>208</v>
      </c>
      <c r="E261" t="s">
        <v>337</v>
      </c>
      <c r="F261" t="s">
        <v>338</v>
      </c>
      <c r="H261">
        <v>3</v>
      </c>
      <c r="I261" s="1">
        <v>0</v>
      </c>
      <c r="J261" s="1">
        <v>822</v>
      </c>
      <c r="K261" s="1">
        <v>10325</v>
      </c>
      <c r="L261" s="1">
        <v>110</v>
      </c>
      <c r="M261" s="1">
        <v>0</v>
      </c>
      <c r="N261" s="1">
        <v>10435</v>
      </c>
      <c r="O261" s="3">
        <v>1</v>
      </c>
      <c r="P261" s="3">
        <v>0</v>
      </c>
      <c r="Q261" s="3">
        <v>0</v>
      </c>
      <c r="R261" s="3">
        <v>0</v>
      </c>
      <c r="S261" s="3">
        <v>0</v>
      </c>
      <c r="T261" s="1">
        <v>11257</v>
      </c>
      <c r="U261" s="1">
        <v>0</v>
      </c>
      <c r="V261" s="10">
        <f>Table1[[#This Row],[Pop NW+RATAA]]*Table1[[#This Row],[Perc_pop_Northern_Aleppo]]</f>
        <v>0</v>
      </c>
      <c r="W261" s="10">
        <f>Table1[[#This Row],[Pop NW+RATAA]]*Table1[[#This Row],[Perc_pop_Afrin District]]</f>
        <v>0</v>
      </c>
      <c r="X261" s="10">
        <f>Table1[[#This Row],[Pop NW+RATAA]]*Table1[[#This Row],[Perc_pop_Euphrates Shiled]]</f>
        <v>0</v>
      </c>
      <c r="Y261" s="10">
        <f>Table1[[#This Row],[Pop NW+RATAA]]*Table1[[#This Row],[Perc_Pop_Idleb_NSAG]]</f>
        <v>0</v>
      </c>
      <c r="Z261" s="3">
        <v>0</v>
      </c>
      <c r="AA261" s="3">
        <v>0</v>
      </c>
      <c r="AB261" s="3">
        <v>0</v>
      </c>
      <c r="AC261" s="3">
        <v>0</v>
      </c>
      <c r="AD261" s="1">
        <v>10435</v>
      </c>
      <c r="AE261" s="1">
        <v>0</v>
      </c>
      <c r="AF261" s="1">
        <v>0</v>
      </c>
      <c r="AG261" s="1">
        <v>0</v>
      </c>
      <c r="AH261" s="1">
        <v>0</v>
      </c>
      <c r="AI261" s="1">
        <f>Table1[[#This Row],[NWS_pin]]*Table1[[#This Row],[Perc_pop_Northern_Aleppo]]</f>
        <v>0</v>
      </c>
      <c r="AJ261" s="1">
        <f>Table1[[#This Row],[NWS_pin]]*Table1[[#This Row],[Perc_pop_Afrin District]]</f>
        <v>0</v>
      </c>
      <c r="AK261" s="1">
        <f>Table1[[#This Row],[NWS_pin]]*Table1[[#This Row],[Perc_pop_Euphrates Shiled]]</f>
        <v>0</v>
      </c>
      <c r="AL261" s="1">
        <f>Table1[[#This Row],[NWS_pin]]*Table1[[#This Row],[Perc_Pop_Idleb_NSAG]]</f>
        <v>0</v>
      </c>
      <c r="AM261" s="4">
        <v>0.54141599904908</v>
      </c>
      <c r="AN261" s="4">
        <v>0.45858400095092</v>
      </c>
      <c r="AO261" s="4">
        <v>0.20799622174451199</v>
      </c>
      <c r="AP261" s="4">
        <v>0.49722739737697702</v>
      </c>
      <c r="AQ261" s="4">
        <v>0.41613580182526499</v>
      </c>
      <c r="AR261" s="4">
        <v>2.39845554510968E-2</v>
      </c>
      <c r="AS261" s="4">
        <v>0</v>
      </c>
      <c r="AT261" s="4">
        <v>6.2652245346661306E-2</v>
      </c>
      <c r="AU261" s="4">
        <v>4.7722968682645299E-2</v>
      </c>
      <c r="AV261" s="4">
        <v>4.3591942101428603E-2</v>
      </c>
      <c r="AW261" s="4">
        <v>5.2600164308593697E-2</v>
      </c>
      <c r="AX261" s="4">
        <v>7.4360311528509804E-2</v>
      </c>
      <c r="AY261" s="4">
        <v>4.82645012471795E-2</v>
      </c>
      <c r="AZ261" s="4">
        <v>0.105169692503782</v>
      </c>
      <c r="BA261" s="4">
        <v>6.8617524971586505E-2</v>
      </c>
      <c r="BB261" s="4">
        <v>6.8584338243103504E-2</v>
      </c>
      <c r="BC261" s="4">
        <v>6.8656706071929099E-2</v>
      </c>
      <c r="BD261" s="4">
        <v>7.95699084648578E-2</v>
      </c>
      <c r="BE261" s="4">
        <v>7.1209648308053694E-2</v>
      </c>
      <c r="BF261" s="4">
        <v>8.9440245405789903E-2</v>
      </c>
      <c r="BG261" s="4">
        <v>9.5268917048909801E-2</v>
      </c>
      <c r="BH261" s="4">
        <v>8.5227325745306504E-2</v>
      </c>
      <c r="BI261" s="4">
        <v>0.10712427653901301</v>
      </c>
      <c r="BJ261" s="4">
        <v>8.5824768221739706E-2</v>
      </c>
      <c r="BK261" s="4">
        <v>8.4015374000266901E-2</v>
      </c>
      <c r="BL261" s="4">
        <v>8.7960985311871298E-2</v>
      </c>
      <c r="BM261" s="4">
        <v>2.9317141504199801E-2</v>
      </c>
      <c r="BN261" s="4">
        <v>3.1747065214735998E-2</v>
      </c>
      <c r="BO261" s="4">
        <v>2.6448311430265801E-2</v>
      </c>
      <c r="BP261" s="4">
        <v>7.7783130046157598E-2</v>
      </c>
      <c r="BQ261" s="4">
        <v>9.2650746425767205E-2</v>
      </c>
      <c r="BR261" s="4">
        <v>6.0230041933721799E-2</v>
      </c>
      <c r="BS261" s="4">
        <v>4.2442075444429697E-2</v>
      </c>
      <c r="BT261" s="4">
        <v>5.3906820993799398E-2</v>
      </c>
      <c r="BU261" s="4">
        <v>2.89065036569617E-2</v>
      </c>
      <c r="BV261" s="4">
        <v>5.7832937551819001E-2</v>
      </c>
      <c r="BW261" s="4">
        <v>6.1169829357991097E-2</v>
      </c>
      <c r="BX261" s="4">
        <v>5.3893317749969999E-2</v>
      </c>
      <c r="BY261" s="4">
        <v>7.7546279871362395E-2</v>
      </c>
      <c r="BZ261" s="4">
        <v>0.11573649016384201</v>
      </c>
      <c r="CA261" s="4">
        <v>3.2457940948674803E-2</v>
      </c>
      <c r="CB261" s="4">
        <v>7.39128931755475E-2</v>
      </c>
      <c r="CC261" s="4">
        <v>6.46153915512616E-2</v>
      </c>
      <c r="CD261" s="4">
        <v>8.4889761361387206E-2</v>
      </c>
      <c r="CE261" s="4">
        <v>5.5154217420343099E-2</v>
      </c>
      <c r="CF261" s="4">
        <v>5.9113668481842102E-2</v>
      </c>
      <c r="CG261" s="4">
        <v>5.04795882407333E-2</v>
      </c>
      <c r="CH261" s="4">
        <v>5.9919716731164502E-2</v>
      </c>
      <c r="CI261" s="4">
        <v>5.23938602552904E-2</v>
      </c>
      <c r="CJ261" s="4">
        <v>6.8804935347898097E-2</v>
      </c>
      <c r="CK261" s="4">
        <v>2.8502825343019799E-2</v>
      </c>
      <c r="CL261" s="4">
        <v>1.7729387777483199E-2</v>
      </c>
      <c r="CM261" s="4">
        <v>4.1222221245717602E-2</v>
      </c>
      <c r="CN261" s="4">
        <v>1.40703762616919E-2</v>
      </c>
      <c r="CO261" s="4">
        <v>4.6725591457509397E-3</v>
      </c>
      <c r="CP261" s="4">
        <v>2.5165679482382099E-2</v>
      </c>
      <c r="CQ261" s="4">
        <v>3.21540077320158E-2</v>
      </c>
      <c r="CR261" s="4">
        <v>4.53710509868974E-2</v>
      </c>
      <c r="CS261" s="4">
        <v>1.6549628461308301E-2</v>
      </c>
      <c r="CT261" s="1">
        <f>Table1[[#This Row],[Female %]]*Table1[[#This Row],[NWS_pin]]</f>
        <v>0</v>
      </c>
      <c r="CU261" s="1">
        <f>Table1[[#This Row],[Male %]]*Table1[[#This Row],[NWS_pin]]</f>
        <v>0</v>
      </c>
      <c r="CV261" s="1">
        <f>Table1[[#This Row],[Female% (0-2)22]]+Table1[[#This Row],[Male%(0-2)3]]</f>
        <v>0</v>
      </c>
      <c r="CW261" s="1">
        <f>$CT261*Table1[[#This Row],[Female% (0-2)]]</f>
        <v>0</v>
      </c>
      <c r="CX261" s="1">
        <f>$CU261*Table1[[#This Row],[Male%(0-2)]]</f>
        <v>0</v>
      </c>
      <c r="CY261" s="1">
        <f>Table1[[#This Row],[Female%  (3-5)5]]+Table1[[#This Row],[Male% (3-5)6]]</f>
        <v>0</v>
      </c>
      <c r="CZ261" s="1">
        <f>$AF261*Table1[[#This Row],[Female%  (3-5)]]</f>
        <v>0</v>
      </c>
      <c r="DA261" s="1">
        <f>$CU261*Table1[[#This Row],[Male% (3-5)]]</f>
        <v>0</v>
      </c>
      <c r="DB261" s="1">
        <f>Table1[[#This Row],[Female% (6-8)8]]+Table1[[#This Row],[Male%(6-8)9]]</f>
        <v>0</v>
      </c>
      <c r="DC261" s="1">
        <f>$CT261*Table1[[#This Row],[Female% (6-8)]]</f>
        <v>0</v>
      </c>
      <c r="DD261" s="1">
        <f>$CU261*Table1[[#This Row],[Male%(6-8)]]</f>
        <v>0</v>
      </c>
      <c r="DE261" s="1">
        <f>Table1[[#This Row],[Female% (9 - 11)11]]+Table1[[#This Row],[Male% (9 - 11)12]]</f>
        <v>0</v>
      </c>
      <c r="DF261" s="1">
        <f>$CT261*Table1[[#This Row],[Female% (9 - 11)]]</f>
        <v>0</v>
      </c>
      <c r="DG261" s="1">
        <f>$CU261*Table1[[#This Row],[Male% (9 - 11)]]</f>
        <v>0</v>
      </c>
      <c r="DH261" s="1">
        <f>Table1[[#This Row],[Female% (12-14)14]]+Table1[[#This Row],[Male%(12-14)15]]</f>
        <v>0</v>
      </c>
      <c r="DI261" s="1">
        <f>$CT261*Table1[[#This Row],[Female% (12-14)]]</f>
        <v>0</v>
      </c>
      <c r="DJ261" s="1">
        <f>$CU261*Table1[[#This Row],[Male%(12-14)]]</f>
        <v>0</v>
      </c>
      <c r="DK261" s="1">
        <f>Table1[[#This Row],[Female% (15-17)17]]+Table1[[#This Row],[Male%(15-17)18]]</f>
        <v>0</v>
      </c>
      <c r="DL261" s="1">
        <f>$CT261*Table1[[#This Row],[Female% (15-17)]]</f>
        <v>0</v>
      </c>
      <c r="DM261" s="1">
        <f>$CU261*Table1[[#This Row],[Male%(15-17)]]</f>
        <v>0</v>
      </c>
      <c r="DN261" s="1">
        <f>$AF261*Table1[[#This Row],[Total% (18-19)]]</f>
        <v>0</v>
      </c>
      <c r="DO261" s="1">
        <f>$CT261*Table1[[#This Row],[Female% (18-19)]]</f>
        <v>0</v>
      </c>
      <c r="DP261" s="1">
        <f>$CU261*Table1[[#This Row],[Male%(18-19)]]</f>
        <v>0</v>
      </c>
      <c r="DQ261" s="1">
        <f>$AF261*Table1[[#This Row],[Total% (20-24)]]</f>
        <v>0</v>
      </c>
      <c r="DR261" s="1">
        <f>$CT261*Table1[[#This Row],[Female% (20-24)]]</f>
        <v>0</v>
      </c>
      <c r="DS261" s="1">
        <f>$CU261*Table1[[#This Row],[Male% (20-24)]]</f>
        <v>0</v>
      </c>
      <c r="DT261" s="1">
        <f>$AF261*Table1[[#This Row],[Total% (25-29)]]</f>
        <v>0</v>
      </c>
      <c r="DU261" s="1">
        <f>$CT261*Table1[[#This Row],[Female% (25-29)]]</f>
        <v>0</v>
      </c>
      <c r="DV261" s="1">
        <f>$CU261*Table1[[#This Row],[Male% (25-29)]]</f>
        <v>0</v>
      </c>
      <c r="DW261" s="1">
        <f>$AF261*Table1[[#This Row],[Total%   (30-34)]]</f>
        <v>0</v>
      </c>
      <c r="DX261" s="1">
        <f>$CT261*Table1[[#This Row],[Female%   (30-34)]]</f>
        <v>0</v>
      </c>
      <c r="DY261" s="1">
        <f>$CU261*Table1[[#This Row],[Male%  (30-34)]]</f>
        <v>0</v>
      </c>
      <c r="DZ261" s="1">
        <f>$AF261*Table1[[#This Row],[Total% (35-39)]]</f>
        <v>0</v>
      </c>
      <c r="EA261" s="1">
        <f>$CT261*Table1[[#This Row],[Female% (35-39)]]</f>
        <v>0</v>
      </c>
      <c r="EB261" s="1">
        <f>$CU261*Table1[[#This Row],[Male% (35-39)]]</f>
        <v>0</v>
      </c>
      <c r="EC261" s="1">
        <f>$AF261*Table1[[#This Row],[Total% (40-44)]]</f>
        <v>0</v>
      </c>
      <c r="ED261" s="1">
        <f>$CT261*Table1[[#This Row],[Female% (40-44)]]</f>
        <v>0</v>
      </c>
      <c r="EE261" s="1">
        <f>$CU261*Table1[[#This Row],[Male%(55-59)]]</f>
        <v>0</v>
      </c>
      <c r="EF261" s="1">
        <f>$AF261*Table1[[#This Row],[Total% (45-49)]]</f>
        <v>0</v>
      </c>
      <c r="EG261" s="1">
        <f>$CT261*Table1[[#This Row],[Female% (45-49)]]</f>
        <v>0</v>
      </c>
      <c r="EH261" s="1">
        <f>$CU261*Table1[[#This Row],[Male% (45-49)]]</f>
        <v>0</v>
      </c>
      <c r="EI261" s="1">
        <f>$AF261*Table1[[#This Row],[Total% (50-54)]]</f>
        <v>0</v>
      </c>
      <c r="EJ261" s="1">
        <f>$CT261*Table1[[#This Row],[Female%(50-54)]]</f>
        <v>0</v>
      </c>
      <c r="EK261" s="1">
        <f>$CU261*Table1[[#This Row],[Male% (50-54)]]</f>
        <v>0</v>
      </c>
      <c r="EL261" s="1">
        <f>$AF261*Table1[[#This Row],[Total% (55-59)]]</f>
        <v>0</v>
      </c>
      <c r="EM261" s="1">
        <f>$CT261*Table1[[#This Row],[Female% (55-59)]]</f>
        <v>0</v>
      </c>
      <c r="EN261" s="1">
        <f>$CU261*Table1[[#This Row],[Male% (55-59)]]</f>
        <v>0</v>
      </c>
      <c r="EO261" s="1">
        <f>$AF261*Table1[[#This Row],[Total% (60-64)]]</f>
        <v>0</v>
      </c>
      <c r="EP261" s="1">
        <f>$CT261*Table1[[#This Row],[Female%(60-64)]]</f>
        <v>0</v>
      </c>
      <c r="EQ261" s="1">
        <f>$CU261*Table1[[#This Row],[Male%(60-64)]]</f>
        <v>0</v>
      </c>
      <c r="ER261" s="1">
        <f>$AF261*Table1[[#This Row],[Total% (&gt;=65)]]</f>
        <v>0</v>
      </c>
      <c r="ES261" s="1">
        <f>$CT261*Table1[[#This Row],[Female%(&gt;=65)]]</f>
        <v>0</v>
      </c>
      <c r="ET261" s="1">
        <f>$CU261*Table1[[#This Row],[Male% (&gt;=65)]]</f>
        <v>0</v>
      </c>
    </row>
    <row r="262" spans="1:150" hidden="1" x14ac:dyDescent="0.35">
      <c r="A262" t="s">
        <v>205</v>
      </c>
      <c r="B262" t="s">
        <v>206</v>
      </c>
      <c r="C262" t="s">
        <v>207</v>
      </c>
      <c r="D262" t="s">
        <v>208</v>
      </c>
      <c r="E262" t="s">
        <v>561</v>
      </c>
      <c r="F262" t="s">
        <v>562</v>
      </c>
      <c r="H262">
        <v>3</v>
      </c>
      <c r="I262" s="1">
        <v>0</v>
      </c>
      <c r="J262" s="1">
        <v>0</v>
      </c>
      <c r="K262" s="1">
        <v>4828</v>
      </c>
      <c r="L262" s="1">
        <v>0</v>
      </c>
      <c r="M262" s="1">
        <v>0</v>
      </c>
      <c r="N262" s="1">
        <v>4828</v>
      </c>
      <c r="O262" s="3">
        <v>1</v>
      </c>
      <c r="P262" s="3">
        <v>0</v>
      </c>
      <c r="Q262" s="3">
        <v>0</v>
      </c>
      <c r="R262" s="3">
        <v>0</v>
      </c>
      <c r="S262" s="3">
        <v>0</v>
      </c>
      <c r="T262" s="1">
        <v>4828</v>
      </c>
      <c r="U262" s="1">
        <v>0</v>
      </c>
      <c r="V262" s="10">
        <f>Table1[[#This Row],[Pop NW+RATAA]]*Table1[[#This Row],[Perc_pop_Northern_Aleppo]]</f>
        <v>0</v>
      </c>
      <c r="W262" s="10">
        <f>Table1[[#This Row],[Pop NW+RATAA]]*Table1[[#This Row],[Perc_pop_Afrin District]]</f>
        <v>0</v>
      </c>
      <c r="X262" s="10">
        <f>Table1[[#This Row],[Pop NW+RATAA]]*Table1[[#This Row],[Perc_pop_Euphrates Shiled]]</f>
        <v>0</v>
      </c>
      <c r="Y262" s="10">
        <f>Table1[[#This Row],[Pop NW+RATAA]]*Table1[[#This Row],[Perc_Pop_Idleb_NSAG]]</f>
        <v>0</v>
      </c>
      <c r="Z262" s="3">
        <v>0</v>
      </c>
      <c r="AA262" s="3">
        <v>0</v>
      </c>
      <c r="AB262" s="3">
        <v>0</v>
      </c>
      <c r="AC262" s="3">
        <v>0</v>
      </c>
      <c r="AD262" s="1">
        <v>4828</v>
      </c>
      <c r="AE262" s="1">
        <v>0</v>
      </c>
      <c r="AF262" s="1">
        <v>0</v>
      </c>
      <c r="AG262" s="1">
        <v>0</v>
      </c>
      <c r="AH262" s="1">
        <v>0</v>
      </c>
      <c r="AI262" s="1">
        <f>Table1[[#This Row],[NWS_pin]]*Table1[[#This Row],[Perc_pop_Northern_Aleppo]]</f>
        <v>0</v>
      </c>
      <c r="AJ262" s="1">
        <f>Table1[[#This Row],[NWS_pin]]*Table1[[#This Row],[Perc_pop_Afrin District]]</f>
        <v>0</v>
      </c>
      <c r="AK262" s="1">
        <f>Table1[[#This Row],[NWS_pin]]*Table1[[#This Row],[Perc_pop_Euphrates Shiled]]</f>
        <v>0</v>
      </c>
      <c r="AL262" s="1">
        <f>Table1[[#This Row],[NWS_pin]]*Table1[[#This Row],[Perc_Pop_Idleb_NSAG]]</f>
        <v>0</v>
      </c>
      <c r="AM262" s="4">
        <v>0.48298775348053402</v>
      </c>
      <c r="AN262" s="4">
        <v>0.51701224651946598</v>
      </c>
      <c r="AO262" s="4">
        <v>0.13825918079096</v>
      </c>
      <c r="AP262" s="4">
        <v>0.39829612324534902</v>
      </c>
      <c r="AQ262" s="4">
        <v>0.58420157465058797</v>
      </c>
      <c r="AR262" s="4">
        <v>5.75984181213373E-3</v>
      </c>
      <c r="AS262" s="4">
        <v>0</v>
      </c>
      <c r="AT262" s="4">
        <v>1.1742460291929799E-2</v>
      </c>
      <c r="AU262" s="4">
        <v>7.9854635425749998E-2</v>
      </c>
      <c r="AV262" s="4">
        <v>8.0725761946962404E-2</v>
      </c>
      <c r="AW262" s="4">
        <v>7.9040837601210806E-2</v>
      </c>
      <c r="AX262" s="4">
        <v>6.5131135410019594E-2</v>
      </c>
      <c r="AY262" s="4">
        <v>6.8707075010297602E-2</v>
      </c>
      <c r="AZ262" s="4">
        <v>6.17905278214229E-2</v>
      </c>
      <c r="BA262" s="4">
        <v>4.4064240228371597E-2</v>
      </c>
      <c r="BB262" s="4">
        <v>5.0898057232429197E-2</v>
      </c>
      <c r="BC262" s="4">
        <v>3.7680155625527401E-2</v>
      </c>
      <c r="BD262" s="4">
        <v>9.75424845840073E-2</v>
      </c>
      <c r="BE262" s="4">
        <v>8.8316873819956801E-2</v>
      </c>
      <c r="BF262" s="4">
        <v>0.10616095938303099</v>
      </c>
      <c r="BG262" s="4">
        <v>6.3552808119590395E-2</v>
      </c>
      <c r="BH262" s="4">
        <v>5.3829265569507297E-2</v>
      </c>
      <c r="BI262" s="4">
        <v>7.2636445893652798E-2</v>
      </c>
      <c r="BJ262" s="4">
        <v>8.4786616293025405E-2</v>
      </c>
      <c r="BK262" s="4">
        <v>4.7148951663839901E-2</v>
      </c>
      <c r="BL262" s="4">
        <v>0.11994735224828</v>
      </c>
      <c r="BM262" s="4">
        <v>1.30928368255511E-2</v>
      </c>
      <c r="BN262" s="4">
        <v>1.05634902195574E-2</v>
      </c>
      <c r="BO262" s="4">
        <v>1.5455727536992999E-2</v>
      </c>
      <c r="BP262" s="4">
        <v>2.8944928600377701E-2</v>
      </c>
      <c r="BQ262" s="4">
        <v>4.9499488436540499E-2</v>
      </c>
      <c r="BR262" s="4">
        <v>9.7430610510455505E-3</v>
      </c>
      <c r="BS262" s="4">
        <v>7.2302962008532506E-2</v>
      </c>
      <c r="BT262" s="4">
        <v>9.9366525581230894E-2</v>
      </c>
      <c r="BU262" s="4">
        <v>4.70204472148271E-2</v>
      </c>
      <c r="BV262" s="4">
        <v>7.6180755373731202E-2</v>
      </c>
      <c r="BW262" s="4">
        <v>0.103412703311863</v>
      </c>
      <c r="BX262" s="4">
        <v>5.07409375626812E-2</v>
      </c>
      <c r="BY262" s="4">
        <v>0.11101361369658699</v>
      </c>
      <c r="BZ262" s="4">
        <v>0.14092442063520599</v>
      </c>
      <c r="CA262" s="4">
        <v>8.3071232166308795E-2</v>
      </c>
      <c r="CB262" s="4">
        <v>0.112214425965826</v>
      </c>
      <c r="CC262" s="4">
        <v>0.116866231859013</v>
      </c>
      <c r="CD262" s="4">
        <v>0.107868754672537</v>
      </c>
      <c r="CE262" s="4">
        <v>7.2641485074777495E-2</v>
      </c>
      <c r="CF262" s="4">
        <v>2.7807294344782098E-2</v>
      </c>
      <c r="CG262" s="4">
        <v>0.114525144902133</v>
      </c>
      <c r="CH262" s="4">
        <v>4.0714910082592003E-2</v>
      </c>
      <c r="CI262" s="4">
        <v>3.1168036302358301E-2</v>
      </c>
      <c r="CJ262" s="4">
        <v>4.9633505630219302E-2</v>
      </c>
      <c r="CK262" s="4">
        <v>1.55791005024997E-2</v>
      </c>
      <c r="CL262" s="4">
        <v>1.04294194742567E-2</v>
      </c>
      <c r="CM262" s="4">
        <v>2.03898818480414E-2</v>
      </c>
      <c r="CN262" s="4">
        <v>7.5235455589259303E-3</v>
      </c>
      <c r="CO262" s="4">
        <v>5.1476743644780004E-3</v>
      </c>
      <c r="CP262" s="4">
        <v>9.7430610510455505E-3</v>
      </c>
      <c r="CQ262" s="4">
        <v>1.4859516249835E-2</v>
      </c>
      <c r="CR262" s="4">
        <v>1.5188730227721501E-2</v>
      </c>
      <c r="CS262" s="4">
        <v>1.45519677910428E-2</v>
      </c>
      <c r="CT262" s="1">
        <f>Table1[[#This Row],[Female %]]*Table1[[#This Row],[NWS_pin]]</f>
        <v>0</v>
      </c>
      <c r="CU262" s="1">
        <f>Table1[[#This Row],[Male %]]*Table1[[#This Row],[NWS_pin]]</f>
        <v>0</v>
      </c>
      <c r="CV262" s="1">
        <f>Table1[[#This Row],[Female% (0-2)22]]+Table1[[#This Row],[Male%(0-2)3]]</f>
        <v>0</v>
      </c>
      <c r="CW262" s="1">
        <f>$CT262*Table1[[#This Row],[Female% (0-2)]]</f>
        <v>0</v>
      </c>
      <c r="CX262" s="1">
        <f>$CU262*Table1[[#This Row],[Male%(0-2)]]</f>
        <v>0</v>
      </c>
      <c r="CY262" s="1">
        <f>Table1[[#This Row],[Female%  (3-5)5]]+Table1[[#This Row],[Male% (3-5)6]]</f>
        <v>0</v>
      </c>
      <c r="CZ262" s="1">
        <f>$AF262*Table1[[#This Row],[Female%  (3-5)]]</f>
        <v>0</v>
      </c>
      <c r="DA262" s="1">
        <f>$CU262*Table1[[#This Row],[Male% (3-5)]]</f>
        <v>0</v>
      </c>
      <c r="DB262" s="1">
        <f>Table1[[#This Row],[Female% (6-8)8]]+Table1[[#This Row],[Male%(6-8)9]]</f>
        <v>0</v>
      </c>
      <c r="DC262" s="1">
        <f>$CT262*Table1[[#This Row],[Female% (6-8)]]</f>
        <v>0</v>
      </c>
      <c r="DD262" s="1">
        <f>$CU262*Table1[[#This Row],[Male%(6-8)]]</f>
        <v>0</v>
      </c>
      <c r="DE262" s="1">
        <f>Table1[[#This Row],[Female% (9 - 11)11]]+Table1[[#This Row],[Male% (9 - 11)12]]</f>
        <v>0</v>
      </c>
      <c r="DF262" s="1">
        <f>$CT262*Table1[[#This Row],[Female% (9 - 11)]]</f>
        <v>0</v>
      </c>
      <c r="DG262" s="1">
        <f>$CU262*Table1[[#This Row],[Male% (9 - 11)]]</f>
        <v>0</v>
      </c>
      <c r="DH262" s="1">
        <f>Table1[[#This Row],[Female% (12-14)14]]+Table1[[#This Row],[Male%(12-14)15]]</f>
        <v>0</v>
      </c>
      <c r="DI262" s="1">
        <f>$CT262*Table1[[#This Row],[Female% (12-14)]]</f>
        <v>0</v>
      </c>
      <c r="DJ262" s="1">
        <f>$CU262*Table1[[#This Row],[Male%(12-14)]]</f>
        <v>0</v>
      </c>
      <c r="DK262" s="1">
        <f>Table1[[#This Row],[Female% (15-17)17]]+Table1[[#This Row],[Male%(15-17)18]]</f>
        <v>0</v>
      </c>
      <c r="DL262" s="1">
        <f>$CT262*Table1[[#This Row],[Female% (15-17)]]</f>
        <v>0</v>
      </c>
      <c r="DM262" s="1">
        <f>$CU262*Table1[[#This Row],[Male%(15-17)]]</f>
        <v>0</v>
      </c>
      <c r="DN262" s="1">
        <f>$AF262*Table1[[#This Row],[Total% (18-19)]]</f>
        <v>0</v>
      </c>
      <c r="DO262" s="1">
        <f>$CT262*Table1[[#This Row],[Female% (18-19)]]</f>
        <v>0</v>
      </c>
      <c r="DP262" s="1">
        <f>$CU262*Table1[[#This Row],[Male%(18-19)]]</f>
        <v>0</v>
      </c>
      <c r="DQ262" s="1">
        <f>$AF262*Table1[[#This Row],[Total% (20-24)]]</f>
        <v>0</v>
      </c>
      <c r="DR262" s="1">
        <f>$CT262*Table1[[#This Row],[Female% (20-24)]]</f>
        <v>0</v>
      </c>
      <c r="DS262" s="1">
        <f>$CU262*Table1[[#This Row],[Male% (20-24)]]</f>
        <v>0</v>
      </c>
      <c r="DT262" s="1">
        <f>$AF262*Table1[[#This Row],[Total% (25-29)]]</f>
        <v>0</v>
      </c>
      <c r="DU262" s="1">
        <f>$CT262*Table1[[#This Row],[Female% (25-29)]]</f>
        <v>0</v>
      </c>
      <c r="DV262" s="1">
        <f>$CU262*Table1[[#This Row],[Male% (25-29)]]</f>
        <v>0</v>
      </c>
      <c r="DW262" s="1">
        <f>$AF262*Table1[[#This Row],[Total%   (30-34)]]</f>
        <v>0</v>
      </c>
      <c r="DX262" s="1">
        <f>$CT262*Table1[[#This Row],[Female%   (30-34)]]</f>
        <v>0</v>
      </c>
      <c r="DY262" s="1">
        <f>$CU262*Table1[[#This Row],[Male%  (30-34)]]</f>
        <v>0</v>
      </c>
      <c r="DZ262" s="1">
        <f>$AF262*Table1[[#This Row],[Total% (35-39)]]</f>
        <v>0</v>
      </c>
      <c r="EA262" s="1">
        <f>$CT262*Table1[[#This Row],[Female% (35-39)]]</f>
        <v>0</v>
      </c>
      <c r="EB262" s="1">
        <f>$CU262*Table1[[#This Row],[Male% (35-39)]]</f>
        <v>0</v>
      </c>
      <c r="EC262" s="1">
        <f>$AF262*Table1[[#This Row],[Total% (40-44)]]</f>
        <v>0</v>
      </c>
      <c r="ED262" s="1">
        <f>$CT262*Table1[[#This Row],[Female% (40-44)]]</f>
        <v>0</v>
      </c>
      <c r="EE262" s="1">
        <f>$CU262*Table1[[#This Row],[Male%(55-59)]]</f>
        <v>0</v>
      </c>
      <c r="EF262" s="1">
        <f>$AF262*Table1[[#This Row],[Total% (45-49)]]</f>
        <v>0</v>
      </c>
      <c r="EG262" s="1">
        <f>$CT262*Table1[[#This Row],[Female% (45-49)]]</f>
        <v>0</v>
      </c>
      <c r="EH262" s="1">
        <f>$CU262*Table1[[#This Row],[Male% (45-49)]]</f>
        <v>0</v>
      </c>
      <c r="EI262" s="1">
        <f>$AF262*Table1[[#This Row],[Total% (50-54)]]</f>
        <v>0</v>
      </c>
      <c r="EJ262" s="1">
        <f>$CT262*Table1[[#This Row],[Female%(50-54)]]</f>
        <v>0</v>
      </c>
      <c r="EK262" s="1">
        <f>$CU262*Table1[[#This Row],[Male% (50-54)]]</f>
        <v>0</v>
      </c>
      <c r="EL262" s="1">
        <f>$AF262*Table1[[#This Row],[Total% (55-59)]]</f>
        <v>0</v>
      </c>
      <c r="EM262" s="1">
        <f>$CT262*Table1[[#This Row],[Female% (55-59)]]</f>
        <v>0</v>
      </c>
      <c r="EN262" s="1">
        <f>$CU262*Table1[[#This Row],[Male% (55-59)]]</f>
        <v>0</v>
      </c>
      <c r="EO262" s="1">
        <f>$AF262*Table1[[#This Row],[Total% (60-64)]]</f>
        <v>0</v>
      </c>
      <c r="EP262" s="1">
        <f>$CT262*Table1[[#This Row],[Female%(60-64)]]</f>
        <v>0</v>
      </c>
      <c r="EQ262" s="1">
        <f>$CU262*Table1[[#This Row],[Male%(60-64)]]</f>
        <v>0</v>
      </c>
      <c r="ER262" s="1">
        <f>$AF262*Table1[[#This Row],[Total% (&gt;=65)]]</f>
        <v>0</v>
      </c>
      <c r="ES262" s="1">
        <f>$CT262*Table1[[#This Row],[Female%(&gt;=65)]]</f>
        <v>0</v>
      </c>
      <c r="ET262" s="1">
        <f>$CU262*Table1[[#This Row],[Male% (&gt;=65)]]</f>
        <v>0</v>
      </c>
    </row>
    <row r="263" spans="1:150" hidden="1" x14ac:dyDescent="0.35">
      <c r="A263" t="s">
        <v>205</v>
      </c>
      <c r="B263" t="s">
        <v>206</v>
      </c>
      <c r="C263" t="s">
        <v>207</v>
      </c>
      <c r="D263" t="s">
        <v>208</v>
      </c>
      <c r="E263" t="s">
        <v>549</v>
      </c>
      <c r="F263" t="s">
        <v>550</v>
      </c>
      <c r="H263">
        <v>3</v>
      </c>
      <c r="I263" s="1">
        <v>0</v>
      </c>
      <c r="J263" s="1">
        <v>0</v>
      </c>
      <c r="K263" s="1">
        <v>6237</v>
      </c>
      <c r="L263" s="1">
        <v>325</v>
      </c>
      <c r="M263" s="1">
        <v>0</v>
      </c>
      <c r="N263" s="1">
        <v>6562</v>
      </c>
      <c r="O263" s="3">
        <v>1</v>
      </c>
      <c r="P263" s="3">
        <v>0</v>
      </c>
      <c r="Q263" s="3">
        <v>0</v>
      </c>
      <c r="R263" s="3">
        <v>0</v>
      </c>
      <c r="S263" s="3">
        <v>0</v>
      </c>
      <c r="T263" s="1">
        <v>6562</v>
      </c>
      <c r="U263" s="1">
        <v>0</v>
      </c>
      <c r="V263" s="10">
        <f>Table1[[#This Row],[Pop NW+RATAA]]*Table1[[#This Row],[Perc_pop_Northern_Aleppo]]</f>
        <v>0</v>
      </c>
      <c r="W263" s="10">
        <f>Table1[[#This Row],[Pop NW+RATAA]]*Table1[[#This Row],[Perc_pop_Afrin District]]</f>
        <v>0</v>
      </c>
      <c r="X263" s="10">
        <f>Table1[[#This Row],[Pop NW+RATAA]]*Table1[[#This Row],[Perc_pop_Euphrates Shiled]]</f>
        <v>0</v>
      </c>
      <c r="Y263" s="10">
        <f>Table1[[#This Row],[Pop NW+RATAA]]*Table1[[#This Row],[Perc_Pop_Idleb_NSAG]]</f>
        <v>0</v>
      </c>
      <c r="Z263" s="3">
        <v>0</v>
      </c>
      <c r="AA263" s="3">
        <v>0</v>
      </c>
      <c r="AB263" s="3">
        <v>0</v>
      </c>
      <c r="AC263" s="3">
        <v>0</v>
      </c>
      <c r="AD263" s="1">
        <v>6562</v>
      </c>
      <c r="AE263" s="1">
        <v>0</v>
      </c>
      <c r="AF263" s="1">
        <v>0</v>
      </c>
      <c r="AG263" s="1">
        <v>0</v>
      </c>
      <c r="AH263" s="1">
        <v>0</v>
      </c>
      <c r="AI263" s="1">
        <f>Table1[[#This Row],[NWS_pin]]*Table1[[#This Row],[Perc_pop_Northern_Aleppo]]</f>
        <v>0</v>
      </c>
      <c r="AJ263" s="1">
        <f>Table1[[#This Row],[NWS_pin]]*Table1[[#This Row],[Perc_pop_Afrin District]]</f>
        <v>0</v>
      </c>
      <c r="AK263" s="1">
        <f>Table1[[#This Row],[NWS_pin]]*Table1[[#This Row],[Perc_pop_Euphrates Shiled]]</f>
        <v>0</v>
      </c>
      <c r="AL263" s="1">
        <f>Table1[[#This Row],[NWS_pin]]*Table1[[#This Row],[Perc_Pop_Idleb_NSAG]]</f>
        <v>0</v>
      </c>
      <c r="AM263" s="4">
        <v>0.49201080984038098</v>
      </c>
      <c r="AN263" s="4">
        <v>0.50798919015961896</v>
      </c>
      <c r="AO263" s="4">
        <v>7.5733752620545006E-2</v>
      </c>
      <c r="AP263" s="4">
        <v>0.25788935736041302</v>
      </c>
      <c r="AQ263" s="4">
        <v>0.65871060680860205</v>
      </c>
      <c r="AR263" s="4">
        <v>2.2678457527632701E-2</v>
      </c>
      <c r="AS263" s="4">
        <v>3.79250430267979E-3</v>
      </c>
      <c r="AT263" s="4">
        <v>5.6929074000672902E-2</v>
      </c>
      <c r="AU263" s="4">
        <v>3.47043577679573E-2</v>
      </c>
      <c r="AV263" s="4">
        <v>1.2745516941887801E-2</v>
      </c>
      <c r="AW263" s="4">
        <v>5.5972501396359398E-2</v>
      </c>
      <c r="AX263" s="4">
        <v>0.110476716085827</v>
      </c>
      <c r="AY263" s="4">
        <v>8.3281279721604207E-2</v>
      </c>
      <c r="AZ263" s="4">
        <v>0.13681674246575801</v>
      </c>
      <c r="BA263" s="4">
        <v>4.7153511323239201E-2</v>
      </c>
      <c r="BB263" s="4">
        <v>3.8413008104207502E-2</v>
      </c>
      <c r="BC263" s="4">
        <v>5.5619089234172699E-2</v>
      </c>
      <c r="BD263" s="4">
        <v>8.8574938846059104E-2</v>
      </c>
      <c r="BE263" s="4">
        <v>7.0606556774144999E-2</v>
      </c>
      <c r="BF263" s="4">
        <v>0.10597814030384201</v>
      </c>
      <c r="BG263" s="4">
        <v>3.7984651790598602E-2</v>
      </c>
      <c r="BH263" s="4">
        <v>3.2122754675508999E-2</v>
      </c>
      <c r="BI263" s="4">
        <v>4.3662167774531302E-2</v>
      </c>
      <c r="BJ263" s="4">
        <v>1.9038681230070902E-2</v>
      </c>
      <c r="BK263" s="4">
        <v>1.28985521247981E-2</v>
      </c>
      <c r="BL263" s="4">
        <v>2.49856776467869E-2</v>
      </c>
      <c r="BM263" s="4">
        <v>0</v>
      </c>
      <c r="BN263" s="4">
        <v>0</v>
      </c>
      <c r="BO263" s="4">
        <v>0</v>
      </c>
      <c r="BP263" s="4">
        <v>1.8905507006780599E-2</v>
      </c>
      <c r="BQ263" s="4">
        <v>1.92595995479251E-2</v>
      </c>
      <c r="BR263" s="4">
        <v>1.8562552153996801E-2</v>
      </c>
      <c r="BS263" s="4">
        <v>6.6377613892396201E-2</v>
      </c>
      <c r="BT263" s="4">
        <v>0.12858523479209799</v>
      </c>
      <c r="BU263" s="4">
        <v>6.1266823174771596E-3</v>
      </c>
      <c r="BV263" s="4">
        <v>0.12297222497588101</v>
      </c>
      <c r="BW263" s="4">
        <v>0.173041245052032</v>
      </c>
      <c r="BX263" s="4">
        <v>7.44780845634824E-2</v>
      </c>
      <c r="BY263" s="4">
        <v>0.14187184020163701</v>
      </c>
      <c r="BZ263" s="4">
        <v>0.121388217459991</v>
      </c>
      <c r="CA263" s="4">
        <v>0.16171116751176201</v>
      </c>
      <c r="CB263" s="4">
        <v>0.12894786901220701</v>
      </c>
      <c r="CC263" s="4">
        <v>0.13448717666649401</v>
      </c>
      <c r="CD263" s="4">
        <v>0.123582795704082</v>
      </c>
      <c r="CE263" s="4">
        <v>5.99676157756691E-2</v>
      </c>
      <c r="CF263" s="4">
        <v>3.2240392861205003E-2</v>
      </c>
      <c r="CG263" s="4">
        <v>8.6822701799219401E-2</v>
      </c>
      <c r="CH263" s="4">
        <v>5.0572871350195198E-2</v>
      </c>
      <c r="CI263" s="4">
        <v>2.5644069066685898E-2</v>
      </c>
      <c r="CJ263" s="4">
        <v>7.4717558751921501E-2</v>
      </c>
      <c r="CK263" s="4">
        <v>6.3462270766902898E-3</v>
      </c>
      <c r="CL263" s="4">
        <v>0</v>
      </c>
      <c r="CM263" s="4">
        <v>1.24928388233934E-2</v>
      </c>
      <c r="CN263" s="4">
        <v>6.2709321124125098E-3</v>
      </c>
      <c r="CO263" s="4">
        <v>6.4198665159750498E-3</v>
      </c>
      <c r="CP263" s="4">
        <v>6.1266823174771596E-3</v>
      </c>
      <c r="CQ263" s="4">
        <v>5.9834441552378902E-2</v>
      </c>
      <c r="CR263" s="4">
        <v>0.108866529695442</v>
      </c>
      <c r="CS263" s="4">
        <v>1.2344617235737E-2</v>
      </c>
      <c r="CT263" s="1">
        <f>Table1[[#This Row],[Female %]]*Table1[[#This Row],[NWS_pin]]</f>
        <v>0</v>
      </c>
      <c r="CU263" s="1">
        <f>Table1[[#This Row],[Male %]]*Table1[[#This Row],[NWS_pin]]</f>
        <v>0</v>
      </c>
      <c r="CV263" s="1">
        <f>Table1[[#This Row],[Female% (0-2)22]]+Table1[[#This Row],[Male%(0-2)3]]</f>
        <v>0</v>
      </c>
      <c r="CW263" s="1">
        <f>$CT263*Table1[[#This Row],[Female% (0-2)]]</f>
        <v>0</v>
      </c>
      <c r="CX263" s="1">
        <f>$CU263*Table1[[#This Row],[Male%(0-2)]]</f>
        <v>0</v>
      </c>
      <c r="CY263" s="1">
        <f>Table1[[#This Row],[Female%  (3-5)5]]+Table1[[#This Row],[Male% (3-5)6]]</f>
        <v>0</v>
      </c>
      <c r="CZ263" s="1">
        <f>$AF263*Table1[[#This Row],[Female%  (3-5)]]</f>
        <v>0</v>
      </c>
      <c r="DA263" s="1">
        <f>$CU263*Table1[[#This Row],[Male% (3-5)]]</f>
        <v>0</v>
      </c>
      <c r="DB263" s="1">
        <f>Table1[[#This Row],[Female% (6-8)8]]+Table1[[#This Row],[Male%(6-8)9]]</f>
        <v>0</v>
      </c>
      <c r="DC263" s="1">
        <f>$CT263*Table1[[#This Row],[Female% (6-8)]]</f>
        <v>0</v>
      </c>
      <c r="DD263" s="1">
        <f>$CU263*Table1[[#This Row],[Male%(6-8)]]</f>
        <v>0</v>
      </c>
      <c r="DE263" s="1">
        <f>Table1[[#This Row],[Female% (9 - 11)11]]+Table1[[#This Row],[Male% (9 - 11)12]]</f>
        <v>0</v>
      </c>
      <c r="DF263" s="1">
        <f>$CT263*Table1[[#This Row],[Female% (9 - 11)]]</f>
        <v>0</v>
      </c>
      <c r="DG263" s="1">
        <f>$CU263*Table1[[#This Row],[Male% (9 - 11)]]</f>
        <v>0</v>
      </c>
      <c r="DH263" s="1">
        <f>Table1[[#This Row],[Female% (12-14)14]]+Table1[[#This Row],[Male%(12-14)15]]</f>
        <v>0</v>
      </c>
      <c r="DI263" s="1">
        <f>$CT263*Table1[[#This Row],[Female% (12-14)]]</f>
        <v>0</v>
      </c>
      <c r="DJ263" s="1">
        <f>$CU263*Table1[[#This Row],[Male%(12-14)]]</f>
        <v>0</v>
      </c>
      <c r="DK263" s="1">
        <f>Table1[[#This Row],[Female% (15-17)17]]+Table1[[#This Row],[Male%(15-17)18]]</f>
        <v>0</v>
      </c>
      <c r="DL263" s="1">
        <f>$CT263*Table1[[#This Row],[Female% (15-17)]]</f>
        <v>0</v>
      </c>
      <c r="DM263" s="1">
        <f>$CU263*Table1[[#This Row],[Male%(15-17)]]</f>
        <v>0</v>
      </c>
      <c r="DN263" s="1">
        <f>$AF263*Table1[[#This Row],[Total% (18-19)]]</f>
        <v>0</v>
      </c>
      <c r="DO263" s="1">
        <f>$CT263*Table1[[#This Row],[Female% (18-19)]]</f>
        <v>0</v>
      </c>
      <c r="DP263" s="1">
        <f>$CU263*Table1[[#This Row],[Male%(18-19)]]</f>
        <v>0</v>
      </c>
      <c r="DQ263" s="1">
        <f>$AF263*Table1[[#This Row],[Total% (20-24)]]</f>
        <v>0</v>
      </c>
      <c r="DR263" s="1">
        <f>$CT263*Table1[[#This Row],[Female% (20-24)]]</f>
        <v>0</v>
      </c>
      <c r="DS263" s="1">
        <f>$CU263*Table1[[#This Row],[Male% (20-24)]]</f>
        <v>0</v>
      </c>
      <c r="DT263" s="1">
        <f>$AF263*Table1[[#This Row],[Total% (25-29)]]</f>
        <v>0</v>
      </c>
      <c r="DU263" s="1">
        <f>$CT263*Table1[[#This Row],[Female% (25-29)]]</f>
        <v>0</v>
      </c>
      <c r="DV263" s="1">
        <f>$CU263*Table1[[#This Row],[Male% (25-29)]]</f>
        <v>0</v>
      </c>
      <c r="DW263" s="1">
        <f>$AF263*Table1[[#This Row],[Total%   (30-34)]]</f>
        <v>0</v>
      </c>
      <c r="DX263" s="1">
        <f>$CT263*Table1[[#This Row],[Female%   (30-34)]]</f>
        <v>0</v>
      </c>
      <c r="DY263" s="1">
        <f>$CU263*Table1[[#This Row],[Male%  (30-34)]]</f>
        <v>0</v>
      </c>
      <c r="DZ263" s="1">
        <f>$AF263*Table1[[#This Row],[Total% (35-39)]]</f>
        <v>0</v>
      </c>
      <c r="EA263" s="1">
        <f>$CT263*Table1[[#This Row],[Female% (35-39)]]</f>
        <v>0</v>
      </c>
      <c r="EB263" s="1">
        <f>$CU263*Table1[[#This Row],[Male% (35-39)]]</f>
        <v>0</v>
      </c>
      <c r="EC263" s="1">
        <f>$AF263*Table1[[#This Row],[Total% (40-44)]]</f>
        <v>0</v>
      </c>
      <c r="ED263" s="1">
        <f>$CT263*Table1[[#This Row],[Female% (40-44)]]</f>
        <v>0</v>
      </c>
      <c r="EE263" s="1">
        <f>$CU263*Table1[[#This Row],[Male%(55-59)]]</f>
        <v>0</v>
      </c>
      <c r="EF263" s="1">
        <f>$AF263*Table1[[#This Row],[Total% (45-49)]]</f>
        <v>0</v>
      </c>
      <c r="EG263" s="1">
        <f>$CT263*Table1[[#This Row],[Female% (45-49)]]</f>
        <v>0</v>
      </c>
      <c r="EH263" s="1">
        <f>$CU263*Table1[[#This Row],[Male% (45-49)]]</f>
        <v>0</v>
      </c>
      <c r="EI263" s="1">
        <f>$AF263*Table1[[#This Row],[Total% (50-54)]]</f>
        <v>0</v>
      </c>
      <c r="EJ263" s="1">
        <f>$CT263*Table1[[#This Row],[Female%(50-54)]]</f>
        <v>0</v>
      </c>
      <c r="EK263" s="1">
        <f>$CU263*Table1[[#This Row],[Male% (50-54)]]</f>
        <v>0</v>
      </c>
      <c r="EL263" s="1">
        <f>$AF263*Table1[[#This Row],[Total% (55-59)]]</f>
        <v>0</v>
      </c>
      <c r="EM263" s="1">
        <f>$CT263*Table1[[#This Row],[Female% (55-59)]]</f>
        <v>0</v>
      </c>
      <c r="EN263" s="1">
        <f>$CU263*Table1[[#This Row],[Male% (55-59)]]</f>
        <v>0</v>
      </c>
      <c r="EO263" s="1">
        <f>$AF263*Table1[[#This Row],[Total% (60-64)]]</f>
        <v>0</v>
      </c>
      <c r="EP263" s="1">
        <f>$CT263*Table1[[#This Row],[Female%(60-64)]]</f>
        <v>0</v>
      </c>
      <c r="EQ263" s="1">
        <f>$CU263*Table1[[#This Row],[Male%(60-64)]]</f>
        <v>0</v>
      </c>
      <c r="ER263" s="1">
        <f>$AF263*Table1[[#This Row],[Total% (&gt;=65)]]</f>
        <v>0</v>
      </c>
      <c r="ES263" s="1">
        <f>$CT263*Table1[[#This Row],[Female%(&gt;=65)]]</f>
        <v>0</v>
      </c>
      <c r="ET263" s="1">
        <f>$CU263*Table1[[#This Row],[Male% (&gt;=65)]]</f>
        <v>0</v>
      </c>
    </row>
    <row r="264" spans="1:150" hidden="1" x14ac:dyDescent="0.35">
      <c r="A264" t="s">
        <v>205</v>
      </c>
      <c r="B264" t="s">
        <v>206</v>
      </c>
      <c r="C264" t="s">
        <v>207</v>
      </c>
      <c r="D264" t="s">
        <v>208</v>
      </c>
      <c r="E264" t="s">
        <v>209</v>
      </c>
      <c r="F264" t="s">
        <v>210</v>
      </c>
      <c r="H264">
        <v>3</v>
      </c>
      <c r="I264" s="1">
        <v>0</v>
      </c>
      <c r="J264" s="1">
        <v>3751</v>
      </c>
      <c r="K264" s="1">
        <v>9618</v>
      </c>
      <c r="L264" s="1">
        <v>0</v>
      </c>
      <c r="M264" s="1">
        <v>0</v>
      </c>
      <c r="N264" s="1">
        <v>9618</v>
      </c>
      <c r="O264" s="3">
        <v>1</v>
      </c>
      <c r="P264" s="3">
        <v>0</v>
      </c>
      <c r="Q264" s="3">
        <v>0</v>
      </c>
      <c r="R264" s="3">
        <v>0</v>
      </c>
      <c r="S264" s="3">
        <v>0</v>
      </c>
      <c r="T264" s="1">
        <v>13369</v>
      </c>
      <c r="U264" s="1">
        <v>0</v>
      </c>
      <c r="V264" s="10">
        <f>Table1[[#This Row],[Pop NW+RATAA]]*Table1[[#This Row],[Perc_pop_Northern_Aleppo]]</f>
        <v>0</v>
      </c>
      <c r="W264" s="10">
        <f>Table1[[#This Row],[Pop NW+RATAA]]*Table1[[#This Row],[Perc_pop_Afrin District]]</f>
        <v>0</v>
      </c>
      <c r="X264" s="10">
        <f>Table1[[#This Row],[Pop NW+RATAA]]*Table1[[#This Row],[Perc_pop_Euphrates Shiled]]</f>
        <v>0</v>
      </c>
      <c r="Y264" s="10">
        <f>Table1[[#This Row],[Pop NW+RATAA]]*Table1[[#This Row],[Perc_Pop_Idleb_NSAG]]</f>
        <v>0</v>
      </c>
      <c r="Z264" s="3">
        <v>0</v>
      </c>
      <c r="AA264" s="3">
        <v>0</v>
      </c>
      <c r="AB264" s="3">
        <v>0</v>
      </c>
      <c r="AC264" s="3">
        <v>0</v>
      </c>
      <c r="AD264" s="1">
        <v>9618</v>
      </c>
      <c r="AE264" s="1">
        <v>0</v>
      </c>
      <c r="AF264" s="1">
        <v>0</v>
      </c>
      <c r="AG264" s="1">
        <v>0</v>
      </c>
      <c r="AH264" s="1">
        <v>0</v>
      </c>
      <c r="AI264" s="1">
        <f>Table1[[#This Row],[NWS_pin]]*Table1[[#This Row],[Perc_pop_Northern_Aleppo]]</f>
        <v>0</v>
      </c>
      <c r="AJ264" s="1">
        <f>Table1[[#This Row],[NWS_pin]]*Table1[[#This Row],[Perc_pop_Afrin District]]</f>
        <v>0</v>
      </c>
      <c r="AK264" s="1">
        <f>Table1[[#This Row],[NWS_pin]]*Table1[[#This Row],[Perc_pop_Euphrates Shiled]]</f>
        <v>0</v>
      </c>
      <c r="AL264" s="1">
        <f>Table1[[#This Row],[NWS_pin]]*Table1[[#This Row],[Perc_Pop_Idleb_NSAG]]</f>
        <v>0</v>
      </c>
      <c r="AM264" s="4">
        <v>0.55151071019120901</v>
      </c>
      <c r="AN264" s="4">
        <v>0.44848928980879099</v>
      </c>
      <c r="AO264" s="4">
        <v>0.17417853082877699</v>
      </c>
      <c r="AP264" s="4">
        <v>0.48746702953298199</v>
      </c>
      <c r="AQ264" s="4">
        <v>0.43290328128790501</v>
      </c>
      <c r="AR264" s="4">
        <v>1.5851025849893102E-2</v>
      </c>
      <c r="AS264" s="4">
        <v>0</v>
      </c>
      <c r="AT264" s="4">
        <v>6.3778663329219804E-2</v>
      </c>
      <c r="AU264" s="4">
        <v>6.02580199982998E-2</v>
      </c>
      <c r="AV264" s="4">
        <v>5.9521694928100999E-2</v>
      </c>
      <c r="AW264" s="4">
        <v>6.1163484569304503E-2</v>
      </c>
      <c r="AX264" s="4">
        <v>6.22482399545356E-2</v>
      </c>
      <c r="AY264" s="4">
        <v>6.2504153670141699E-2</v>
      </c>
      <c r="AZ264" s="4">
        <v>6.19335409009601E-2</v>
      </c>
      <c r="BA264" s="4">
        <v>5.8197075286942998E-2</v>
      </c>
      <c r="BB264" s="4">
        <v>5.3933901901787797E-2</v>
      </c>
      <c r="BC264" s="4">
        <v>6.3439532207859903E-2</v>
      </c>
      <c r="BD264" s="4">
        <v>5.84880689739933E-2</v>
      </c>
      <c r="BE264" s="4">
        <v>6.3218764768174299E-2</v>
      </c>
      <c r="BF264" s="4">
        <v>5.2670696170598802E-2</v>
      </c>
      <c r="BG264" s="4">
        <v>9.6505685757213105E-2</v>
      </c>
      <c r="BH264" s="4">
        <v>8.7067508259812798E-2</v>
      </c>
      <c r="BI264" s="4">
        <v>0.10811188481878101</v>
      </c>
      <c r="BJ264" s="4">
        <v>0.103717970153622</v>
      </c>
      <c r="BK264" s="4">
        <v>9.9343702842943304E-2</v>
      </c>
      <c r="BL264" s="4">
        <v>0.109097040124517</v>
      </c>
      <c r="BM264" s="4">
        <v>1.61133747910873E-2</v>
      </c>
      <c r="BN264" s="4">
        <v>1.06069874782093E-2</v>
      </c>
      <c r="BO264" s="4">
        <v>2.28846213883203E-2</v>
      </c>
      <c r="BP264" s="4">
        <v>7.9036400573267704E-2</v>
      </c>
      <c r="BQ264" s="4">
        <v>0.103728281166426</v>
      </c>
      <c r="BR264" s="4">
        <v>4.8672606138634E-2</v>
      </c>
      <c r="BS264" s="4">
        <v>5.3195056989711401E-2</v>
      </c>
      <c r="BT264" s="4">
        <v>5.5089583824000199E-2</v>
      </c>
      <c r="BU264" s="4">
        <v>5.08653428502715E-2</v>
      </c>
      <c r="BV264" s="4">
        <v>4.1836365633309801E-2</v>
      </c>
      <c r="BW264" s="4">
        <v>6.2176225675748903E-2</v>
      </c>
      <c r="BX264" s="4">
        <v>1.6824284158682201E-2</v>
      </c>
      <c r="BY264" s="4">
        <v>9.6691097006811499E-2</v>
      </c>
      <c r="BZ264" s="4">
        <v>0.118350482819694</v>
      </c>
      <c r="CA264" s="4">
        <v>7.0056384599161803E-2</v>
      </c>
      <c r="CB264" s="4">
        <v>4.84813491402264E-2</v>
      </c>
      <c r="CC264" s="4">
        <v>3.1214161168407799E-2</v>
      </c>
      <c r="CD264" s="4">
        <v>6.9714942266614802E-2</v>
      </c>
      <c r="CE264" s="4">
        <v>6.47484287901888E-2</v>
      </c>
      <c r="CF264" s="4">
        <v>6.0394003307769797E-2</v>
      </c>
      <c r="CG264" s="4">
        <v>7.0103099113102002E-2</v>
      </c>
      <c r="CH264" s="4">
        <v>5.2452348857901003E-2</v>
      </c>
      <c r="CI264" s="4">
        <v>5.0524450741516201E-2</v>
      </c>
      <c r="CJ264" s="4">
        <v>5.4823099918192598E-2</v>
      </c>
      <c r="CK264" s="4">
        <v>3.7538498315782202E-2</v>
      </c>
      <c r="CL264" s="4">
        <v>3.8557672802998398E-2</v>
      </c>
      <c r="CM264" s="4">
        <v>3.6285211653144099E-2</v>
      </c>
      <c r="CN264" s="4">
        <v>3.2005606105752697E-2</v>
      </c>
      <c r="CO264" s="4">
        <v>2.4927573546692901E-2</v>
      </c>
      <c r="CP264" s="4">
        <v>4.07095168837956E-2</v>
      </c>
      <c r="CQ264" s="4">
        <v>3.8486413671354802E-2</v>
      </c>
      <c r="CR264" s="4">
        <v>1.8840851097576199E-2</v>
      </c>
      <c r="CS264" s="4">
        <v>6.2644712238060299E-2</v>
      </c>
      <c r="CT264" s="1">
        <f>Table1[[#This Row],[Female %]]*Table1[[#This Row],[NWS_pin]]</f>
        <v>0</v>
      </c>
      <c r="CU264" s="1">
        <f>Table1[[#This Row],[Male %]]*Table1[[#This Row],[NWS_pin]]</f>
        <v>0</v>
      </c>
      <c r="CV264" s="1">
        <f>Table1[[#This Row],[Female% (0-2)22]]+Table1[[#This Row],[Male%(0-2)3]]</f>
        <v>0</v>
      </c>
      <c r="CW264" s="1">
        <f>$CT264*Table1[[#This Row],[Female% (0-2)]]</f>
        <v>0</v>
      </c>
      <c r="CX264" s="1">
        <f>$CU264*Table1[[#This Row],[Male%(0-2)]]</f>
        <v>0</v>
      </c>
      <c r="CY264" s="1">
        <f>Table1[[#This Row],[Female%  (3-5)5]]+Table1[[#This Row],[Male% (3-5)6]]</f>
        <v>0</v>
      </c>
      <c r="CZ264" s="1">
        <f>$AF264*Table1[[#This Row],[Female%  (3-5)]]</f>
        <v>0</v>
      </c>
      <c r="DA264" s="1">
        <f>$CU264*Table1[[#This Row],[Male% (3-5)]]</f>
        <v>0</v>
      </c>
      <c r="DB264" s="1">
        <f>Table1[[#This Row],[Female% (6-8)8]]+Table1[[#This Row],[Male%(6-8)9]]</f>
        <v>0</v>
      </c>
      <c r="DC264" s="1">
        <f>$CT264*Table1[[#This Row],[Female% (6-8)]]</f>
        <v>0</v>
      </c>
      <c r="DD264" s="1">
        <f>$CU264*Table1[[#This Row],[Male%(6-8)]]</f>
        <v>0</v>
      </c>
      <c r="DE264" s="1">
        <f>Table1[[#This Row],[Female% (9 - 11)11]]+Table1[[#This Row],[Male% (9 - 11)12]]</f>
        <v>0</v>
      </c>
      <c r="DF264" s="1">
        <f>$CT264*Table1[[#This Row],[Female% (9 - 11)]]</f>
        <v>0</v>
      </c>
      <c r="DG264" s="1">
        <f>$CU264*Table1[[#This Row],[Male% (9 - 11)]]</f>
        <v>0</v>
      </c>
      <c r="DH264" s="1">
        <f>Table1[[#This Row],[Female% (12-14)14]]+Table1[[#This Row],[Male%(12-14)15]]</f>
        <v>0</v>
      </c>
      <c r="DI264" s="1">
        <f>$CT264*Table1[[#This Row],[Female% (12-14)]]</f>
        <v>0</v>
      </c>
      <c r="DJ264" s="1">
        <f>$CU264*Table1[[#This Row],[Male%(12-14)]]</f>
        <v>0</v>
      </c>
      <c r="DK264" s="1">
        <f>Table1[[#This Row],[Female% (15-17)17]]+Table1[[#This Row],[Male%(15-17)18]]</f>
        <v>0</v>
      </c>
      <c r="DL264" s="1">
        <f>$CT264*Table1[[#This Row],[Female% (15-17)]]</f>
        <v>0</v>
      </c>
      <c r="DM264" s="1">
        <f>$CU264*Table1[[#This Row],[Male%(15-17)]]</f>
        <v>0</v>
      </c>
      <c r="DN264" s="1">
        <f>$AF264*Table1[[#This Row],[Total% (18-19)]]</f>
        <v>0</v>
      </c>
      <c r="DO264" s="1">
        <f>$CT264*Table1[[#This Row],[Female% (18-19)]]</f>
        <v>0</v>
      </c>
      <c r="DP264" s="1">
        <f>$CU264*Table1[[#This Row],[Male%(18-19)]]</f>
        <v>0</v>
      </c>
      <c r="DQ264" s="1">
        <f>$AF264*Table1[[#This Row],[Total% (20-24)]]</f>
        <v>0</v>
      </c>
      <c r="DR264" s="1">
        <f>$CT264*Table1[[#This Row],[Female% (20-24)]]</f>
        <v>0</v>
      </c>
      <c r="DS264" s="1">
        <f>$CU264*Table1[[#This Row],[Male% (20-24)]]</f>
        <v>0</v>
      </c>
      <c r="DT264" s="1">
        <f>$AF264*Table1[[#This Row],[Total% (25-29)]]</f>
        <v>0</v>
      </c>
      <c r="DU264" s="1">
        <f>$CT264*Table1[[#This Row],[Female% (25-29)]]</f>
        <v>0</v>
      </c>
      <c r="DV264" s="1">
        <f>$CU264*Table1[[#This Row],[Male% (25-29)]]</f>
        <v>0</v>
      </c>
      <c r="DW264" s="1">
        <f>$AF264*Table1[[#This Row],[Total%   (30-34)]]</f>
        <v>0</v>
      </c>
      <c r="DX264" s="1">
        <f>$CT264*Table1[[#This Row],[Female%   (30-34)]]</f>
        <v>0</v>
      </c>
      <c r="DY264" s="1">
        <f>$CU264*Table1[[#This Row],[Male%  (30-34)]]</f>
        <v>0</v>
      </c>
      <c r="DZ264" s="1">
        <f>$AF264*Table1[[#This Row],[Total% (35-39)]]</f>
        <v>0</v>
      </c>
      <c r="EA264" s="1">
        <f>$CT264*Table1[[#This Row],[Female% (35-39)]]</f>
        <v>0</v>
      </c>
      <c r="EB264" s="1">
        <f>$CU264*Table1[[#This Row],[Male% (35-39)]]</f>
        <v>0</v>
      </c>
      <c r="EC264" s="1">
        <f>$AF264*Table1[[#This Row],[Total% (40-44)]]</f>
        <v>0</v>
      </c>
      <c r="ED264" s="1">
        <f>$CT264*Table1[[#This Row],[Female% (40-44)]]</f>
        <v>0</v>
      </c>
      <c r="EE264" s="1">
        <f>$CU264*Table1[[#This Row],[Male%(55-59)]]</f>
        <v>0</v>
      </c>
      <c r="EF264" s="1">
        <f>$AF264*Table1[[#This Row],[Total% (45-49)]]</f>
        <v>0</v>
      </c>
      <c r="EG264" s="1">
        <f>$CT264*Table1[[#This Row],[Female% (45-49)]]</f>
        <v>0</v>
      </c>
      <c r="EH264" s="1">
        <f>$CU264*Table1[[#This Row],[Male% (45-49)]]</f>
        <v>0</v>
      </c>
      <c r="EI264" s="1">
        <f>$AF264*Table1[[#This Row],[Total% (50-54)]]</f>
        <v>0</v>
      </c>
      <c r="EJ264" s="1">
        <f>$CT264*Table1[[#This Row],[Female%(50-54)]]</f>
        <v>0</v>
      </c>
      <c r="EK264" s="1">
        <f>$CU264*Table1[[#This Row],[Male% (50-54)]]</f>
        <v>0</v>
      </c>
      <c r="EL264" s="1">
        <f>$AF264*Table1[[#This Row],[Total% (55-59)]]</f>
        <v>0</v>
      </c>
      <c r="EM264" s="1">
        <f>$CT264*Table1[[#This Row],[Female% (55-59)]]</f>
        <v>0</v>
      </c>
      <c r="EN264" s="1">
        <f>$CU264*Table1[[#This Row],[Male% (55-59)]]</f>
        <v>0</v>
      </c>
      <c r="EO264" s="1">
        <f>$AF264*Table1[[#This Row],[Total% (60-64)]]</f>
        <v>0</v>
      </c>
      <c r="EP264" s="1">
        <f>$CT264*Table1[[#This Row],[Female%(60-64)]]</f>
        <v>0</v>
      </c>
      <c r="EQ264" s="1">
        <f>$CU264*Table1[[#This Row],[Male%(60-64)]]</f>
        <v>0</v>
      </c>
      <c r="ER264" s="1">
        <f>$AF264*Table1[[#This Row],[Total% (&gt;=65)]]</f>
        <v>0</v>
      </c>
      <c r="ES264" s="1">
        <f>$CT264*Table1[[#This Row],[Female%(&gt;=65)]]</f>
        <v>0</v>
      </c>
      <c r="ET264" s="1">
        <f>$CU264*Table1[[#This Row],[Male% (&gt;=65)]]</f>
        <v>0</v>
      </c>
    </row>
    <row r="265" spans="1:150" hidden="1" x14ac:dyDescent="0.35">
      <c r="A265" t="s">
        <v>205</v>
      </c>
      <c r="B265" t="s">
        <v>206</v>
      </c>
      <c r="C265" t="s">
        <v>416</v>
      </c>
      <c r="D265" t="s">
        <v>417</v>
      </c>
      <c r="E265" t="s">
        <v>416</v>
      </c>
      <c r="F265" t="s">
        <v>472</v>
      </c>
      <c r="H265">
        <v>3</v>
      </c>
      <c r="I265" s="1">
        <v>0</v>
      </c>
      <c r="J265" s="1">
        <v>0</v>
      </c>
      <c r="K265" s="1">
        <v>38272</v>
      </c>
      <c r="L265" s="1">
        <v>748</v>
      </c>
      <c r="M265" s="1">
        <v>0</v>
      </c>
      <c r="N265" s="1">
        <v>39020</v>
      </c>
      <c r="O265" s="3">
        <v>1</v>
      </c>
      <c r="P265" s="3">
        <v>0</v>
      </c>
      <c r="Q265" s="3">
        <v>0</v>
      </c>
      <c r="R265" s="3">
        <v>0</v>
      </c>
      <c r="S265" s="3">
        <v>0</v>
      </c>
      <c r="T265" s="1">
        <v>39020</v>
      </c>
      <c r="U265" s="1">
        <v>0</v>
      </c>
      <c r="V265" s="10">
        <f>Table1[[#This Row],[Pop NW+RATAA]]*Table1[[#This Row],[Perc_pop_Northern_Aleppo]]</f>
        <v>0</v>
      </c>
      <c r="W265" s="10">
        <f>Table1[[#This Row],[Pop NW+RATAA]]*Table1[[#This Row],[Perc_pop_Afrin District]]</f>
        <v>0</v>
      </c>
      <c r="X265" s="10">
        <f>Table1[[#This Row],[Pop NW+RATAA]]*Table1[[#This Row],[Perc_pop_Euphrates Shiled]]</f>
        <v>0</v>
      </c>
      <c r="Y265" s="10">
        <f>Table1[[#This Row],[Pop NW+RATAA]]*Table1[[#This Row],[Perc_Pop_Idleb_NSAG]]</f>
        <v>0</v>
      </c>
      <c r="Z265" s="3">
        <v>0</v>
      </c>
      <c r="AA265" s="3">
        <v>0</v>
      </c>
      <c r="AB265" s="3">
        <v>0</v>
      </c>
      <c r="AC265" s="3">
        <v>0</v>
      </c>
      <c r="AD265" s="1">
        <v>39020</v>
      </c>
      <c r="AE265" s="1">
        <v>0</v>
      </c>
      <c r="AF265" s="1">
        <v>0</v>
      </c>
      <c r="AG265" s="1">
        <v>0</v>
      </c>
      <c r="AH265" s="1">
        <v>0</v>
      </c>
      <c r="AI265" s="1">
        <f>Table1[[#This Row],[NWS_pin]]*Table1[[#This Row],[Perc_pop_Northern_Aleppo]]</f>
        <v>0</v>
      </c>
      <c r="AJ265" s="1">
        <f>Table1[[#This Row],[NWS_pin]]*Table1[[#This Row],[Perc_pop_Afrin District]]</f>
        <v>0</v>
      </c>
      <c r="AK265" s="1">
        <f>Table1[[#This Row],[NWS_pin]]*Table1[[#This Row],[Perc_pop_Euphrates Shiled]]</f>
        <v>0</v>
      </c>
      <c r="AL265" s="1">
        <f>Table1[[#This Row],[NWS_pin]]*Table1[[#This Row],[Perc_Pop_Idleb_NSAG]]</f>
        <v>0</v>
      </c>
      <c r="AM265" s="4">
        <v>0.43654321228318999</v>
      </c>
      <c r="AN265" s="4">
        <v>0.56345678771680996</v>
      </c>
      <c r="AO265" s="4">
        <v>9.9088054372607204E-2</v>
      </c>
      <c r="AP265" s="4">
        <v>0.31994129197286397</v>
      </c>
      <c r="AQ265" s="4">
        <v>0.67185849713557999</v>
      </c>
      <c r="AR265" s="4">
        <v>4.1001054457781303E-3</v>
      </c>
      <c r="AS265" s="4">
        <v>0</v>
      </c>
      <c r="AT265" s="4">
        <v>4.1001054457781303E-3</v>
      </c>
      <c r="AU265" s="4">
        <v>3.6005390254597501E-2</v>
      </c>
      <c r="AV265" s="4">
        <v>2.6980680155142399E-2</v>
      </c>
      <c r="AW265" s="4">
        <v>4.2997365544671998E-2</v>
      </c>
      <c r="AX265" s="4">
        <v>0.121014727906656</v>
      </c>
      <c r="AY265" s="4">
        <v>6.9315904727036901E-2</v>
      </c>
      <c r="AZ265" s="4">
        <v>0.16106885598547899</v>
      </c>
      <c r="BA265" s="4">
        <v>6.5284773176671501E-2</v>
      </c>
      <c r="BB265" s="4">
        <v>7.1382405442276198E-2</v>
      </c>
      <c r="BC265" s="4">
        <v>6.0560577755519603E-2</v>
      </c>
      <c r="BD265" s="4">
        <v>7.3758519013521498E-2</v>
      </c>
      <c r="BE265" s="4">
        <v>6.6426290242014602E-2</v>
      </c>
      <c r="BF265" s="4">
        <v>7.94392291777897E-2</v>
      </c>
      <c r="BG265" s="4">
        <v>5.3373298514738397E-2</v>
      </c>
      <c r="BH265" s="4">
        <v>3.82747847325094E-2</v>
      </c>
      <c r="BI265" s="4">
        <v>6.5071007817175494E-2</v>
      </c>
      <c r="BJ265" s="4">
        <v>5.0103763520416102E-2</v>
      </c>
      <c r="BK265" s="4">
        <v>4.6368553242633399E-2</v>
      </c>
      <c r="BL265" s="4">
        <v>5.2997651266136099E-2</v>
      </c>
      <c r="BM265" s="4">
        <v>2.5823335524253099E-2</v>
      </c>
      <c r="BN265" s="4">
        <v>2.4169879405973E-2</v>
      </c>
      <c r="BO265" s="4">
        <v>2.7104365517995999E-2</v>
      </c>
      <c r="BP265" s="4">
        <v>2.2356817595461199E-2</v>
      </c>
      <c r="BQ265" s="4">
        <v>2.5277243266063201E-2</v>
      </c>
      <c r="BR265" s="4">
        <v>2.0094191549824302E-2</v>
      </c>
      <c r="BS265" s="4">
        <v>0.18782634586504099</v>
      </c>
      <c r="BT265" s="4">
        <v>0.28177707224709803</v>
      </c>
      <c r="BU265" s="4">
        <v>0.115037175896296</v>
      </c>
      <c r="BV265" s="4">
        <v>0.101928127638356</v>
      </c>
      <c r="BW265" s="4">
        <v>9.9581163593892394E-2</v>
      </c>
      <c r="BX265" s="4">
        <v>0.10374645913319</v>
      </c>
      <c r="BY265" s="4">
        <v>0.114207294712571</v>
      </c>
      <c r="BZ265" s="4">
        <v>0.12973518545816501</v>
      </c>
      <c r="CA265" s="4">
        <v>0.102176921747269</v>
      </c>
      <c r="CB265" s="4">
        <v>8.7896892524397099E-2</v>
      </c>
      <c r="CC265" s="4">
        <v>9.8015440761715505E-2</v>
      </c>
      <c r="CD265" s="4">
        <v>8.0057456302392804E-2</v>
      </c>
      <c r="CE265" s="4">
        <v>3.9657961651277197E-2</v>
      </c>
      <c r="CF265" s="4">
        <v>4.9253995922878503E-3</v>
      </c>
      <c r="CG265" s="4">
        <v>6.6567326384455103E-2</v>
      </c>
      <c r="CH265" s="4">
        <v>1.30053804712558E-2</v>
      </c>
      <c r="CI265" s="4">
        <v>1.02627510003195E-2</v>
      </c>
      <c r="CJ265" s="4">
        <v>1.51302573126487E-2</v>
      </c>
      <c r="CK265" s="4">
        <v>3.27723734224443E-3</v>
      </c>
      <c r="CL265" s="4">
        <v>7.5072461328718598E-3</v>
      </c>
      <c r="CM265" s="4">
        <v>0</v>
      </c>
      <c r="CN265" s="4">
        <v>4.4801342885420004E-3</v>
      </c>
      <c r="CO265" s="4">
        <v>0</v>
      </c>
      <c r="CP265" s="4">
        <v>7.9511586091561802E-3</v>
      </c>
      <c r="CQ265" s="4">
        <v>0</v>
      </c>
      <c r="CR265" s="4">
        <v>0</v>
      </c>
      <c r="CS265" s="4">
        <v>0</v>
      </c>
      <c r="CT265" s="1">
        <f>Table1[[#This Row],[Female %]]*Table1[[#This Row],[NWS_pin]]</f>
        <v>0</v>
      </c>
      <c r="CU265" s="1">
        <f>Table1[[#This Row],[Male %]]*Table1[[#This Row],[NWS_pin]]</f>
        <v>0</v>
      </c>
      <c r="CV265" s="1">
        <f>Table1[[#This Row],[Female% (0-2)22]]+Table1[[#This Row],[Male%(0-2)3]]</f>
        <v>0</v>
      </c>
      <c r="CW265" s="1">
        <f>$CT265*Table1[[#This Row],[Female% (0-2)]]</f>
        <v>0</v>
      </c>
      <c r="CX265" s="1">
        <f>$CU265*Table1[[#This Row],[Male%(0-2)]]</f>
        <v>0</v>
      </c>
      <c r="CY265" s="1">
        <f>Table1[[#This Row],[Female%  (3-5)5]]+Table1[[#This Row],[Male% (3-5)6]]</f>
        <v>0</v>
      </c>
      <c r="CZ265" s="1">
        <f>$AF265*Table1[[#This Row],[Female%  (3-5)]]</f>
        <v>0</v>
      </c>
      <c r="DA265" s="1">
        <f>$CU265*Table1[[#This Row],[Male% (3-5)]]</f>
        <v>0</v>
      </c>
      <c r="DB265" s="1">
        <f>Table1[[#This Row],[Female% (6-8)8]]+Table1[[#This Row],[Male%(6-8)9]]</f>
        <v>0</v>
      </c>
      <c r="DC265" s="1">
        <f>$CT265*Table1[[#This Row],[Female% (6-8)]]</f>
        <v>0</v>
      </c>
      <c r="DD265" s="1">
        <f>$CU265*Table1[[#This Row],[Male%(6-8)]]</f>
        <v>0</v>
      </c>
      <c r="DE265" s="1">
        <f>Table1[[#This Row],[Female% (9 - 11)11]]+Table1[[#This Row],[Male% (9 - 11)12]]</f>
        <v>0</v>
      </c>
      <c r="DF265" s="1">
        <f>$CT265*Table1[[#This Row],[Female% (9 - 11)]]</f>
        <v>0</v>
      </c>
      <c r="DG265" s="1">
        <f>$CU265*Table1[[#This Row],[Male% (9 - 11)]]</f>
        <v>0</v>
      </c>
      <c r="DH265" s="1">
        <f>Table1[[#This Row],[Female% (12-14)14]]+Table1[[#This Row],[Male%(12-14)15]]</f>
        <v>0</v>
      </c>
      <c r="DI265" s="1">
        <f>$CT265*Table1[[#This Row],[Female% (12-14)]]</f>
        <v>0</v>
      </c>
      <c r="DJ265" s="1">
        <f>$CU265*Table1[[#This Row],[Male%(12-14)]]</f>
        <v>0</v>
      </c>
      <c r="DK265" s="1">
        <f>Table1[[#This Row],[Female% (15-17)17]]+Table1[[#This Row],[Male%(15-17)18]]</f>
        <v>0</v>
      </c>
      <c r="DL265" s="1">
        <f>$CT265*Table1[[#This Row],[Female% (15-17)]]</f>
        <v>0</v>
      </c>
      <c r="DM265" s="1">
        <f>$CU265*Table1[[#This Row],[Male%(15-17)]]</f>
        <v>0</v>
      </c>
      <c r="DN265" s="1">
        <f>$AF265*Table1[[#This Row],[Total% (18-19)]]</f>
        <v>0</v>
      </c>
      <c r="DO265" s="1">
        <f>$CT265*Table1[[#This Row],[Female% (18-19)]]</f>
        <v>0</v>
      </c>
      <c r="DP265" s="1">
        <f>$CU265*Table1[[#This Row],[Male%(18-19)]]</f>
        <v>0</v>
      </c>
      <c r="DQ265" s="1">
        <f>$AF265*Table1[[#This Row],[Total% (20-24)]]</f>
        <v>0</v>
      </c>
      <c r="DR265" s="1">
        <f>$CT265*Table1[[#This Row],[Female% (20-24)]]</f>
        <v>0</v>
      </c>
      <c r="DS265" s="1">
        <f>$CU265*Table1[[#This Row],[Male% (20-24)]]</f>
        <v>0</v>
      </c>
      <c r="DT265" s="1">
        <f>$AF265*Table1[[#This Row],[Total% (25-29)]]</f>
        <v>0</v>
      </c>
      <c r="DU265" s="1">
        <f>$CT265*Table1[[#This Row],[Female% (25-29)]]</f>
        <v>0</v>
      </c>
      <c r="DV265" s="1">
        <f>$CU265*Table1[[#This Row],[Male% (25-29)]]</f>
        <v>0</v>
      </c>
      <c r="DW265" s="1">
        <f>$AF265*Table1[[#This Row],[Total%   (30-34)]]</f>
        <v>0</v>
      </c>
      <c r="DX265" s="1">
        <f>$CT265*Table1[[#This Row],[Female%   (30-34)]]</f>
        <v>0</v>
      </c>
      <c r="DY265" s="1">
        <f>$CU265*Table1[[#This Row],[Male%  (30-34)]]</f>
        <v>0</v>
      </c>
      <c r="DZ265" s="1">
        <f>$AF265*Table1[[#This Row],[Total% (35-39)]]</f>
        <v>0</v>
      </c>
      <c r="EA265" s="1">
        <f>$CT265*Table1[[#This Row],[Female% (35-39)]]</f>
        <v>0</v>
      </c>
      <c r="EB265" s="1">
        <f>$CU265*Table1[[#This Row],[Male% (35-39)]]</f>
        <v>0</v>
      </c>
      <c r="EC265" s="1">
        <f>$AF265*Table1[[#This Row],[Total% (40-44)]]</f>
        <v>0</v>
      </c>
      <c r="ED265" s="1">
        <f>$CT265*Table1[[#This Row],[Female% (40-44)]]</f>
        <v>0</v>
      </c>
      <c r="EE265" s="1">
        <f>$CU265*Table1[[#This Row],[Male%(55-59)]]</f>
        <v>0</v>
      </c>
      <c r="EF265" s="1">
        <f>$AF265*Table1[[#This Row],[Total% (45-49)]]</f>
        <v>0</v>
      </c>
      <c r="EG265" s="1">
        <f>$CT265*Table1[[#This Row],[Female% (45-49)]]</f>
        <v>0</v>
      </c>
      <c r="EH265" s="1">
        <f>$CU265*Table1[[#This Row],[Male% (45-49)]]</f>
        <v>0</v>
      </c>
      <c r="EI265" s="1">
        <f>$AF265*Table1[[#This Row],[Total% (50-54)]]</f>
        <v>0</v>
      </c>
      <c r="EJ265" s="1">
        <f>$CT265*Table1[[#This Row],[Female%(50-54)]]</f>
        <v>0</v>
      </c>
      <c r="EK265" s="1">
        <f>$CU265*Table1[[#This Row],[Male% (50-54)]]</f>
        <v>0</v>
      </c>
      <c r="EL265" s="1">
        <f>$AF265*Table1[[#This Row],[Total% (55-59)]]</f>
        <v>0</v>
      </c>
      <c r="EM265" s="1">
        <f>$CT265*Table1[[#This Row],[Female% (55-59)]]</f>
        <v>0</v>
      </c>
      <c r="EN265" s="1">
        <f>$CU265*Table1[[#This Row],[Male% (55-59)]]</f>
        <v>0</v>
      </c>
      <c r="EO265" s="1">
        <f>$AF265*Table1[[#This Row],[Total% (60-64)]]</f>
        <v>0</v>
      </c>
      <c r="EP265" s="1">
        <f>$CT265*Table1[[#This Row],[Female%(60-64)]]</f>
        <v>0</v>
      </c>
      <c r="EQ265" s="1">
        <f>$CU265*Table1[[#This Row],[Male%(60-64)]]</f>
        <v>0</v>
      </c>
      <c r="ER265" s="1">
        <f>$AF265*Table1[[#This Row],[Total% (&gt;=65)]]</f>
        <v>0</v>
      </c>
      <c r="ES265" s="1">
        <f>$CT265*Table1[[#This Row],[Female%(&gt;=65)]]</f>
        <v>0</v>
      </c>
      <c r="ET265" s="1">
        <f>$CU265*Table1[[#This Row],[Male% (&gt;=65)]]</f>
        <v>0</v>
      </c>
    </row>
    <row r="266" spans="1:150" hidden="1" x14ac:dyDescent="0.35">
      <c r="A266" t="s">
        <v>205</v>
      </c>
      <c r="B266" t="s">
        <v>206</v>
      </c>
      <c r="C266" t="s">
        <v>416</v>
      </c>
      <c r="D266" t="s">
        <v>417</v>
      </c>
      <c r="E266" t="s">
        <v>418</v>
      </c>
      <c r="F266" t="s">
        <v>419</v>
      </c>
      <c r="H266">
        <v>4</v>
      </c>
      <c r="I266" s="1">
        <v>0</v>
      </c>
      <c r="J266" s="1">
        <v>0</v>
      </c>
      <c r="K266" s="1">
        <v>12465</v>
      </c>
      <c r="L266" s="1">
        <v>8662</v>
      </c>
      <c r="M266" s="1">
        <v>0</v>
      </c>
      <c r="N266" s="1">
        <v>21127</v>
      </c>
      <c r="O266" s="3">
        <v>1</v>
      </c>
      <c r="P266" s="3">
        <v>0</v>
      </c>
      <c r="Q266" s="3">
        <v>0</v>
      </c>
      <c r="R266" s="3">
        <v>0</v>
      </c>
      <c r="S266" s="3">
        <v>0</v>
      </c>
      <c r="T266" s="1">
        <v>21127</v>
      </c>
      <c r="U266" s="1">
        <v>0</v>
      </c>
      <c r="V266" s="10">
        <f>Table1[[#This Row],[Pop NW+RATAA]]*Table1[[#This Row],[Perc_pop_Northern_Aleppo]]</f>
        <v>0</v>
      </c>
      <c r="W266" s="10">
        <f>Table1[[#This Row],[Pop NW+RATAA]]*Table1[[#This Row],[Perc_pop_Afrin District]]</f>
        <v>0</v>
      </c>
      <c r="X266" s="10">
        <f>Table1[[#This Row],[Pop NW+RATAA]]*Table1[[#This Row],[Perc_pop_Euphrates Shiled]]</f>
        <v>0</v>
      </c>
      <c r="Y266" s="10">
        <f>Table1[[#This Row],[Pop NW+RATAA]]*Table1[[#This Row],[Perc_Pop_Idleb_NSAG]]</f>
        <v>0</v>
      </c>
      <c r="Z266" s="3">
        <v>0</v>
      </c>
      <c r="AA266" s="3">
        <v>0</v>
      </c>
      <c r="AB266" s="3">
        <v>0</v>
      </c>
      <c r="AC266" s="3">
        <v>0</v>
      </c>
      <c r="AD266" s="1">
        <v>21127</v>
      </c>
      <c r="AE266" s="1">
        <v>0</v>
      </c>
      <c r="AF266" s="1">
        <v>0</v>
      </c>
      <c r="AG266" s="1">
        <v>0</v>
      </c>
      <c r="AH266" s="1">
        <v>0</v>
      </c>
      <c r="AI266" s="1">
        <f>Table1[[#This Row],[NWS_pin]]*Table1[[#This Row],[Perc_pop_Northern_Aleppo]]</f>
        <v>0</v>
      </c>
      <c r="AJ266" s="1">
        <f>Table1[[#This Row],[NWS_pin]]*Table1[[#This Row],[Perc_pop_Afrin District]]</f>
        <v>0</v>
      </c>
      <c r="AK266" s="1">
        <f>Table1[[#This Row],[NWS_pin]]*Table1[[#This Row],[Perc_pop_Euphrates Shiled]]</f>
        <v>0</v>
      </c>
      <c r="AL266" s="1">
        <f>Table1[[#This Row],[NWS_pin]]*Table1[[#This Row],[Perc_Pop_Idleb_NSAG]]</f>
        <v>0</v>
      </c>
      <c r="AM266" s="4">
        <v>0.46117482589346998</v>
      </c>
      <c r="AN266" s="4">
        <v>0.53882517410652997</v>
      </c>
      <c r="AO266" s="4">
        <v>0.12565776729452199</v>
      </c>
      <c r="AP266" s="4">
        <v>0.42257671055610002</v>
      </c>
      <c r="AQ266" s="4">
        <v>0.54129956278755098</v>
      </c>
      <c r="AR266" s="4">
        <v>3.0850445811076901E-3</v>
      </c>
      <c r="AS266" s="4">
        <v>0</v>
      </c>
      <c r="AT266" s="4">
        <v>3.3038682075240598E-2</v>
      </c>
      <c r="AU266" s="4">
        <v>4.1701600101389402E-2</v>
      </c>
      <c r="AV266" s="4">
        <v>4.00806006970722E-2</v>
      </c>
      <c r="AW266" s="4">
        <v>4.3088996522313898E-2</v>
      </c>
      <c r="AX266" s="4">
        <v>8.6068499077101998E-2</v>
      </c>
      <c r="AY266" s="4">
        <v>8.1915354351295905E-2</v>
      </c>
      <c r="AZ266" s="4">
        <v>8.9623132171240502E-2</v>
      </c>
      <c r="BA266" s="4">
        <v>8.58809691773188E-2</v>
      </c>
      <c r="BB266" s="4">
        <v>7.3613411771677795E-2</v>
      </c>
      <c r="BC266" s="4">
        <v>9.6380643139408306E-2</v>
      </c>
      <c r="BD266" s="4">
        <v>0.11124144986954899</v>
      </c>
      <c r="BE266" s="4">
        <v>0.102952471872408</v>
      </c>
      <c r="BF266" s="4">
        <v>0.118335899365167</v>
      </c>
      <c r="BG266" s="4">
        <v>7.9849767411372799E-2</v>
      </c>
      <c r="BH266" s="4">
        <v>5.4745416227498303E-2</v>
      </c>
      <c r="BI266" s="4">
        <v>0.101336318787873</v>
      </c>
      <c r="BJ266" s="4">
        <v>4.5694877293337502E-2</v>
      </c>
      <c r="BK266" s="4">
        <v>3.8715039447391401E-2</v>
      </c>
      <c r="BL266" s="4">
        <v>5.1668847438118497E-2</v>
      </c>
      <c r="BM266" s="4">
        <v>2.9570263846016302E-2</v>
      </c>
      <c r="BN266" s="4">
        <v>3.4412860430246398E-2</v>
      </c>
      <c r="BO266" s="4">
        <v>2.54255361236937E-2</v>
      </c>
      <c r="BP266" s="4">
        <v>3.5087485018219997E-2</v>
      </c>
      <c r="BQ266" s="4">
        <v>4.58655946831397E-2</v>
      </c>
      <c r="BR266" s="4">
        <v>2.58626137853156E-2</v>
      </c>
      <c r="BS266" s="4">
        <v>8.7896328494900006E-2</v>
      </c>
      <c r="BT266" s="4">
        <v>0.13420414992545901</v>
      </c>
      <c r="BU266" s="4">
        <v>4.8261948900152701E-2</v>
      </c>
      <c r="BV266" s="4">
        <v>0.101034826088608</v>
      </c>
      <c r="BW266" s="4">
        <v>0.122882122547827</v>
      </c>
      <c r="BX266" s="4">
        <v>8.2335953754867505E-2</v>
      </c>
      <c r="BY266" s="4">
        <v>0.108945626963596</v>
      </c>
      <c r="BZ266" s="4">
        <v>0.101356672364157</v>
      </c>
      <c r="CA266" s="4">
        <v>0.11544093376122801</v>
      </c>
      <c r="CB266" s="4">
        <v>6.3339518868327602E-2</v>
      </c>
      <c r="CC266" s="4">
        <v>7.0850136905467598E-2</v>
      </c>
      <c r="CD266" s="4">
        <v>5.69112595143101E-2</v>
      </c>
      <c r="CE266" s="4">
        <v>4.4992214803370303E-2</v>
      </c>
      <c r="CF266" s="4">
        <v>2.8839197610238201E-2</v>
      </c>
      <c r="CG266" s="4">
        <v>5.8817413123120998E-2</v>
      </c>
      <c r="CH266" s="4">
        <v>3.1549893347031399E-2</v>
      </c>
      <c r="CI266" s="4">
        <v>2.3069441520486199E-2</v>
      </c>
      <c r="CJ266" s="4">
        <v>3.8808223288816501E-2</v>
      </c>
      <c r="CK266" s="4">
        <v>1.8719667039294601E-2</v>
      </c>
      <c r="CL266" s="4">
        <v>1.0114922672645099E-2</v>
      </c>
      <c r="CM266" s="4">
        <v>2.6084377665014001E-2</v>
      </c>
      <c r="CN266" s="4">
        <v>8.7992535786368103E-3</v>
      </c>
      <c r="CO266" s="4">
        <v>0</v>
      </c>
      <c r="CP266" s="4">
        <v>1.6330442602700501E-2</v>
      </c>
      <c r="CQ266" s="4">
        <v>1.96277590219299E-2</v>
      </c>
      <c r="CR266" s="4">
        <v>3.6382606972989798E-2</v>
      </c>
      <c r="CS266" s="4">
        <v>5.2874600566593204E-3</v>
      </c>
      <c r="CT266" s="1">
        <f>Table1[[#This Row],[Female %]]*Table1[[#This Row],[NWS_pin]]</f>
        <v>0</v>
      </c>
      <c r="CU266" s="1">
        <f>Table1[[#This Row],[Male %]]*Table1[[#This Row],[NWS_pin]]</f>
        <v>0</v>
      </c>
      <c r="CV266" s="1">
        <f>Table1[[#This Row],[Female% (0-2)22]]+Table1[[#This Row],[Male%(0-2)3]]</f>
        <v>0</v>
      </c>
      <c r="CW266" s="1">
        <f>$CT266*Table1[[#This Row],[Female% (0-2)]]</f>
        <v>0</v>
      </c>
      <c r="CX266" s="1">
        <f>$CU266*Table1[[#This Row],[Male%(0-2)]]</f>
        <v>0</v>
      </c>
      <c r="CY266" s="1">
        <f>Table1[[#This Row],[Female%  (3-5)5]]+Table1[[#This Row],[Male% (3-5)6]]</f>
        <v>0</v>
      </c>
      <c r="CZ266" s="1">
        <f>$AF266*Table1[[#This Row],[Female%  (3-5)]]</f>
        <v>0</v>
      </c>
      <c r="DA266" s="1">
        <f>$CU266*Table1[[#This Row],[Male% (3-5)]]</f>
        <v>0</v>
      </c>
      <c r="DB266" s="1">
        <f>Table1[[#This Row],[Female% (6-8)8]]+Table1[[#This Row],[Male%(6-8)9]]</f>
        <v>0</v>
      </c>
      <c r="DC266" s="1">
        <f>$CT266*Table1[[#This Row],[Female% (6-8)]]</f>
        <v>0</v>
      </c>
      <c r="DD266" s="1">
        <f>$CU266*Table1[[#This Row],[Male%(6-8)]]</f>
        <v>0</v>
      </c>
      <c r="DE266" s="1">
        <f>Table1[[#This Row],[Female% (9 - 11)11]]+Table1[[#This Row],[Male% (9 - 11)12]]</f>
        <v>0</v>
      </c>
      <c r="DF266" s="1">
        <f>$CT266*Table1[[#This Row],[Female% (9 - 11)]]</f>
        <v>0</v>
      </c>
      <c r="DG266" s="1">
        <f>$CU266*Table1[[#This Row],[Male% (9 - 11)]]</f>
        <v>0</v>
      </c>
      <c r="DH266" s="1">
        <f>Table1[[#This Row],[Female% (12-14)14]]+Table1[[#This Row],[Male%(12-14)15]]</f>
        <v>0</v>
      </c>
      <c r="DI266" s="1">
        <f>$CT266*Table1[[#This Row],[Female% (12-14)]]</f>
        <v>0</v>
      </c>
      <c r="DJ266" s="1">
        <f>$CU266*Table1[[#This Row],[Male%(12-14)]]</f>
        <v>0</v>
      </c>
      <c r="DK266" s="1">
        <f>Table1[[#This Row],[Female% (15-17)17]]+Table1[[#This Row],[Male%(15-17)18]]</f>
        <v>0</v>
      </c>
      <c r="DL266" s="1">
        <f>$CT266*Table1[[#This Row],[Female% (15-17)]]</f>
        <v>0</v>
      </c>
      <c r="DM266" s="1">
        <f>$CU266*Table1[[#This Row],[Male%(15-17)]]</f>
        <v>0</v>
      </c>
      <c r="DN266" s="1">
        <f>$AF266*Table1[[#This Row],[Total% (18-19)]]</f>
        <v>0</v>
      </c>
      <c r="DO266" s="1">
        <f>$CT266*Table1[[#This Row],[Female% (18-19)]]</f>
        <v>0</v>
      </c>
      <c r="DP266" s="1">
        <f>$CU266*Table1[[#This Row],[Male%(18-19)]]</f>
        <v>0</v>
      </c>
      <c r="DQ266" s="1">
        <f>$AF266*Table1[[#This Row],[Total% (20-24)]]</f>
        <v>0</v>
      </c>
      <c r="DR266" s="1">
        <f>$CT266*Table1[[#This Row],[Female% (20-24)]]</f>
        <v>0</v>
      </c>
      <c r="DS266" s="1">
        <f>$CU266*Table1[[#This Row],[Male% (20-24)]]</f>
        <v>0</v>
      </c>
      <c r="DT266" s="1">
        <f>$AF266*Table1[[#This Row],[Total% (25-29)]]</f>
        <v>0</v>
      </c>
      <c r="DU266" s="1">
        <f>$CT266*Table1[[#This Row],[Female% (25-29)]]</f>
        <v>0</v>
      </c>
      <c r="DV266" s="1">
        <f>$CU266*Table1[[#This Row],[Male% (25-29)]]</f>
        <v>0</v>
      </c>
      <c r="DW266" s="1">
        <f>$AF266*Table1[[#This Row],[Total%   (30-34)]]</f>
        <v>0</v>
      </c>
      <c r="DX266" s="1">
        <f>$CT266*Table1[[#This Row],[Female%   (30-34)]]</f>
        <v>0</v>
      </c>
      <c r="DY266" s="1">
        <f>$CU266*Table1[[#This Row],[Male%  (30-34)]]</f>
        <v>0</v>
      </c>
      <c r="DZ266" s="1">
        <f>$AF266*Table1[[#This Row],[Total% (35-39)]]</f>
        <v>0</v>
      </c>
      <c r="EA266" s="1">
        <f>$CT266*Table1[[#This Row],[Female% (35-39)]]</f>
        <v>0</v>
      </c>
      <c r="EB266" s="1">
        <f>$CU266*Table1[[#This Row],[Male% (35-39)]]</f>
        <v>0</v>
      </c>
      <c r="EC266" s="1">
        <f>$AF266*Table1[[#This Row],[Total% (40-44)]]</f>
        <v>0</v>
      </c>
      <c r="ED266" s="1">
        <f>$CT266*Table1[[#This Row],[Female% (40-44)]]</f>
        <v>0</v>
      </c>
      <c r="EE266" s="1">
        <f>$CU266*Table1[[#This Row],[Male%(55-59)]]</f>
        <v>0</v>
      </c>
      <c r="EF266" s="1">
        <f>$AF266*Table1[[#This Row],[Total% (45-49)]]</f>
        <v>0</v>
      </c>
      <c r="EG266" s="1">
        <f>$CT266*Table1[[#This Row],[Female% (45-49)]]</f>
        <v>0</v>
      </c>
      <c r="EH266" s="1">
        <f>$CU266*Table1[[#This Row],[Male% (45-49)]]</f>
        <v>0</v>
      </c>
      <c r="EI266" s="1">
        <f>$AF266*Table1[[#This Row],[Total% (50-54)]]</f>
        <v>0</v>
      </c>
      <c r="EJ266" s="1">
        <f>$CT266*Table1[[#This Row],[Female%(50-54)]]</f>
        <v>0</v>
      </c>
      <c r="EK266" s="1">
        <f>$CU266*Table1[[#This Row],[Male% (50-54)]]</f>
        <v>0</v>
      </c>
      <c r="EL266" s="1">
        <f>$AF266*Table1[[#This Row],[Total% (55-59)]]</f>
        <v>0</v>
      </c>
      <c r="EM266" s="1">
        <f>$CT266*Table1[[#This Row],[Female% (55-59)]]</f>
        <v>0</v>
      </c>
      <c r="EN266" s="1">
        <f>$CU266*Table1[[#This Row],[Male% (55-59)]]</f>
        <v>0</v>
      </c>
      <c r="EO266" s="1">
        <f>$AF266*Table1[[#This Row],[Total% (60-64)]]</f>
        <v>0</v>
      </c>
      <c r="EP266" s="1">
        <f>$CT266*Table1[[#This Row],[Female%(60-64)]]</f>
        <v>0</v>
      </c>
      <c r="EQ266" s="1">
        <f>$CU266*Table1[[#This Row],[Male%(60-64)]]</f>
        <v>0</v>
      </c>
      <c r="ER266" s="1">
        <f>$AF266*Table1[[#This Row],[Total% (&gt;=65)]]</f>
        <v>0</v>
      </c>
      <c r="ES266" s="1">
        <f>$CT266*Table1[[#This Row],[Female%(&gt;=65)]]</f>
        <v>0</v>
      </c>
      <c r="ET266" s="1">
        <f>$CU266*Table1[[#This Row],[Male% (&gt;=65)]]</f>
        <v>0</v>
      </c>
    </row>
    <row r="267" spans="1:150" hidden="1" x14ac:dyDescent="0.35">
      <c r="A267" t="s">
        <v>205</v>
      </c>
      <c r="B267" t="s">
        <v>206</v>
      </c>
      <c r="C267" t="s">
        <v>416</v>
      </c>
      <c r="D267" t="s">
        <v>417</v>
      </c>
      <c r="E267" t="s">
        <v>454</v>
      </c>
      <c r="F267" t="s">
        <v>455</v>
      </c>
      <c r="H267">
        <v>3</v>
      </c>
      <c r="I267" s="1">
        <v>0</v>
      </c>
      <c r="J267" s="1">
        <v>126</v>
      </c>
      <c r="K267" s="1">
        <v>10958</v>
      </c>
      <c r="L267" s="1">
        <v>1759</v>
      </c>
      <c r="M267" s="1">
        <v>0</v>
      </c>
      <c r="N267" s="1">
        <v>12717</v>
      </c>
      <c r="O267" s="3">
        <v>1</v>
      </c>
      <c r="P267" s="3">
        <v>0</v>
      </c>
      <c r="Q267" s="3">
        <v>0</v>
      </c>
      <c r="R267" s="3">
        <v>0</v>
      </c>
      <c r="S267" s="3">
        <v>0</v>
      </c>
      <c r="T267" s="1">
        <v>12843</v>
      </c>
      <c r="U267" s="1">
        <v>0</v>
      </c>
      <c r="V267" s="10">
        <f>Table1[[#This Row],[Pop NW+RATAA]]*Table1[[#This Row],[Perc_pop_Northern_Aleppo]]</f>
        <v>0</v>
      </c>
      <c r="W267" s="10">
        <f>Table1[[#This Row],[Pop NW+RATAA]]*Table1[[#This Row],[Perc_pop_Afrin District]]</f>
        <v>0</v>
      </c>
      <c r="X267" s="10">
        <f>Table1[[#This Row],[Pop NW+RATAA]]*Table1[[#This Row],[Perc_pop_Euphrates Shiled]]</f>
        <v>0</v>
      </c>
      <c r="Y267" s="10">
        <f>Table1[[#This Row],[Pop NW+RATAA]]*Table1[[#This Row],[Perc_Pop_Idleb_NSAG]]</f>
        <v>0</v>
      </c>
      <c r="Z267" s="3">
        <v>0</v>
      </c>
      <c r="AA267" s="3">
        <v>0</v>
      </c>
      <c r="AB267" s="3">
        <v>0</v>
      </c>
      <c r="AC267" s="3">
        <v>0</v>
      </c>
      <c r="AD267" s="1">
        <v>12717</v>
      </c>
      <c r="AE267" s="1">
        <v>0</v>
      </c>
      <c r="AF267" s="1">
        <v>0</v>
      </c>
      <c r="AG267" s="1">
        <v>0</v>
      </c>
      <c r="AH267" s="1">
        <v>0</v>
      </c>
      <c r="AI267" s="1">
        <f>Table1[[#This Row],[NWS_pin]]*Table1[[#This Row],[Perc_pop_Northern_Aleppo]]</f>
        <v>0</v>
      </c>
      <c r="AJ267" s="1">
        <f>Table1[[#This Row],[NWS_pin]]*Table1[[#This Row],[Perc_pop_Afrin District]]</f>
        <v>0</v>
      </c>
      <c r="AK267" s="1">
        <f>Table1[[#This Row],[NWS_pin]]*Table1[[#This Row],[Perc_pop_Euphrates Shiled]]</f>
        <v>0</v>
      </c>
      <c r="AL267" s="1">
        <f>Table1[[#This Row],[NWS_pin]]*Table1[[#This Row],[Perc_Pop_Idleb_NSAG]]</f>
        <v>0</v>
      </c>
      <c r="AM267" s="4">
        <v>0.55142957573109597</v>
      </c>
      <c r="AN267" s="4">
        <v>0.44857042426890398</v>
      </c>
      <c r="AO267" s="4">
        <v>0.16340867036743301</v>
      </c>
      <c r="AP267" s="4">
        <v>0.44099868710613399</v>
      </c>
      <c r="AQ267" s="4">
        <v>0.51534684455439705</v>
      </c>
      <c r="AR267" s="4">
        <v>1.64657007506483E-2</v>
      </c>
      <c r="AS267" s="4">
        <v>3.2931401501296699E-3</v>
      </c>
      <c r="AT267" s="4">
        <v>2.3895627438690299E-2</v>
      </c>
      <c r="AU267" s="4">
        <v>6.0636439766930797E-2</v>
      </c>
      <c r="AV267" s="4">
        <v>6.9514484347789798E-2</v>
      </c>
      <c r="AW267" s="4">
        <v>4.9722620906661803E-2</v>
      </c>
      <c r="AX267" s="4">
        <v>2.1270266216107201E-2</v>
      </c>
      <c r="AY267" s="4">
        <v>2.3872535160281899E-2</v>
      </c>
      <c r="AZ267" s="4">
        <v>1.8071285672164299E-2</v>
      </c>
      <c r="BA267" s="4">
        <v>0.103726905783143</v>
      </c>
      <c r="BB267" s="4">
        <v>0.11063971813354</v>
      </c>
      <c r="BC267" s="4">
        <v>9.5228955460848197E-2</v>
      </c>
      <c r="BD267" s="4">
        <v>0.10712250197992</v>
      </c>
      <c r="BE267" s="4">
        <v>9.9597928532579497E-2</v>
      </c>
      <c r="BF267" s="4">
        <v>0.11637249288243399</v>
      </c>
      <c r="BG267" s="4">
        <v>9.3723365551075993E-2</v>
      </c>
      <c r="BH267" s="4">
        <v>8.0264871088880196E-2</v>
      </c>
      <c r="BI267" s="4">
        <v>0.11026795139479</v>
      </c>
      <c r="BJ267" s="4">
        <v>6.2527320604342296E-2</v>
      </c>
      <c r="BK267" s="4">
        <v>5.7031158611186197E-2</v>
      </c>
      <c r="BL267" s="4">
        <v>6.9283776474064696E-2</v>
      </c>
      <c r="BM267" s="4">
        <v>2.1403646636529099E-2</v>
      </c>
      <c r="BN267" s="4">
        <v>2.5850710749598899E-2</v>
      </c>
      <c r="BO267" s="4">
        <v>1.5936851358807E-2</v>
      </c>
      <c r="BP267" s="4">
        <v>3.4331747838391699E-2</v>
      </c>
      <c r="BQ267" s="4">
        <v>3.9621443139805999E-2</v>
      </c>
      <c r="BR267" s="4">
        <v>2.7829102371830401E-2</v>
      </c>
      <c r="BS267" s="4">
        <v>5.3653875718002897E-2</v>
      </c>
      <c r="BT267" s="4">
        <v>7.0811583918727494E-2</v>
      </c>
      <c r="BU267" s="4">
        <v>3.2561830318300497E-2</v>
      </c>
      <c r="BV267" s="4">
        <v>8.55955964177669E-2</v>
      </c>
      <c r="BW267" s="4">
        <v>0.110480013777722</v>
      </c>
      <c r="BX267" s="4">
        <v>5.5005073804778801E-2</v>
      </c>
      <c r="BY267" s="4">
        <v>0.118455565806944</v>
      </c>
      <c r="BZ267" s="4">
        <v>0.133646722583773</v>
      </c>
      <c r="CA267" s="4">
        <v>9.97810106354486E-2</v>
      </c>
      <c r="CB267" s="4">
        <v>8.5143003192339806E-2</v>
      </c>
      <c r="CC267" s="4">
        <v>7.7038376074190104E-2</v>
      </c>
      <c r="CD267" s="4">
        <v>9.5106056598065203E-2</v>
      </c>
      <c r="CE267" s="4">
        <v>5.6173988715995E-2</v>
      </c>
      <c r="CF267" s="4">
        <v>4.3159831305161003E-2</v>
      </c>
      <c r="CG267" s="4">
        <v>7.2172349087725393E-2</v>
      </c>
      <c r="CH267" s="4">
        <v>3.10768520198802E-2</v>
      </c>
      <c r="CI267" s="4">
        <v>1.7783931503440299E-2</v>
      </c>
      <c r="CJ267" s="4">
        <v>4.7417897091129597E-2</v>
      </c>
      <c r="CK267" s="4">
        <v>2.4810248871345301E-2</v>
      </c>
      <c r="CL267" s="4">
        <v>5.19725497001838E-3</v>
      </c>
      <c r="CM267" s="4">
        <v>4.89205876736689E-2</v>
      </c>
      <c r="CN267" s="4">
        <v>5.73184020616714E-3</v>
      </c>
      <c r="CO267" s="4">
        <v>5.19725497001838E-3</v>
      </c>
      <c r="CP267" s="4">
        <v>6.3890081646701298E-3</v>
      </c>
      <c r="CQ267" s="4">
        <v>3.4616834675118301E-2</v>
      </c>
      <c r="CR267" s="4">
        <v>3.0292181133287101E-2</v>
      </c>
      <c r="CS267" s="4">
        <v>3.9933150104613402E-2</v>
      </c>
      <c r="CT267" s="1">
        <f>Table1[[#This Row],[Female %]]*Table1[[#This Row],[NWS_pin]]</f>
        <v>0</v>
      </c>
      <c r="CU267" s="1">
        <f>Table1[[#This Row],[Male %]]*Table1[[#This Row],[NWS_pin]]</f>
        <v>0</v>
      </c>
      <c r="CV267" s="1">
        <f>Table1[[#This Row],[Female% (0-2)22]]+Table1[[#This Row],[Male%(0-2)3]]</f>
        <v>0</v>
      </c>
      <c r="CW267" s="1">
        <f>$CT267*Table1[[#This Row],[Female% (0-2)]]</f>
        <v>0</v>
      </c>
      <c r="CX267" s="1">
        <f>$CU267*Table1[[#This Row],[Male%(0-2)]]</f>
        <v>0</v>
      </c>
      <c r="CY267" s="1">
        <f>Table1[[#This Row],[Female%  (3-5)5]]+Table1[[#This Row],[Male% (3-5)6]]</f>
        <v>0</v>
      </c>
      <c r="CZ267" s="1">
        <f>$AF267*Table1[[#This Row],[Female%  (3-5)]]</f>
        <v>0</v>
      </c>
      <c r="DA267" s="1">
        <f>$CU267*Table1[[#This Row],[Male% (3-5)]]</f>
        <v>0</v>
      </c>
      <c r="DB267" s="1">
        <f>Table1[[#This Row],[Female% (6-8)8]]+Table1[[#This Row],[Male%(6-8)9]]</f>
        <v>0</v>
      </c>
      <c r="DC267" s="1">
        <f>$CT267*Table1[[#This Row],[Female% (6-8)]]</f>
        <v>0</v>
      </c>
      <c r="DD267" s="1">
        <f>$CU267*Table1[[#This Row],[Male%(6-8)]]</f>
        <v>0</v>
      </c>
      <c r="DE267" s="1">
        <f>Table1[[#This Row],[Female% (9 - 11)11]]+Table1[[#This Row],[Male% (9 - 11)12]]</f>
        <v>0</v>
      </c>
      <c r="DF267" s="1">
        <f>$CT267*Table1[[#This Row],[Female% (9 - 11)]]</f>
        <v>0</v>
      </c>
      <c r="DG267" s="1">
        <f>$CU267*Table1[[#This Row],[Male% (9 - 11)]]</f>
        <v>0</v>
      </c>
      <c r="DH267" s="1">
        <f>Table1[[#This Row],[Female% (12-14)14]]+Table1[[#This Row],[Male%(12-14)15]]</f>
        <v>0</v>
      </c>
      <c r="DI267" s="1">
        <f>$CT267*Table1[[#This Row],[Female% (12-14)]]</f>
        <v>0</v>
      </c>
      <c r="DJ267" s="1">
        <f>$CU267*Table1[[#This Row],[Male%(12-14)]]</f>
        <v>0</v>
      </c>
      <c r="DK267" s="1">
        <f>Table1[[#This Row],[Female% (15-17)17]]+Table1[[#This Row],[Male%(15-17)18]]</f>
        <v>0</v>
      </c>
      <c r="DL267" s="1">
        <f>$CT267*Table1[[#This Row],[Female% (15-17)]]</f>
        <v>0</v>
      </c>
      <c r="DM267" s="1">
        <f>$CU267*Table1[[#This Row],[Male%(15-17)]]</f>
        <v>0</v>
      </c>
      <c r="DN267" s="1">
        <f>$AF267*Table1[[#This Row],[Total% (18-19)]]</f>
        <v>0</v>
      </c>
      <c r="DO267" s="1">
        <f>$CT267*Table1[[#This Row],[Female% (18-19)]]</f>
        <v>0</v>
      </c>
      <c r="DP267" s="1">
        <f>$CU267*Table1[[#This Row],[Male%(18-19)]]</f>
        <v>0</v>
      </c>
      <c r="DQ267" s="1">
        <f>$AF267*Table1[[#This Row],[Total% (20-24)]]</f>
        <v>0</v>
      </c>
      <c r="DR267" s="1">
        <f>$CT267*Table1[[#This Row],[Female% (20-24)]]</f>
        <v>0</v>
      </c>
      <c r="DS267" s="1">
        <f>$CU267*Table1[[#This Row],[Male% (20-24)]]</f>
        <v>0</v>
      </c>
      <c r="DT267" s="1">
        <f>$AF267*Table1[[#This Row],[Total% (25-29)]]</f>
        <v>0</v>
      </c>
      <c r="DU267" s="1">
        <f>$CT267*Table1[[#This Row],[Female% (25-29)]]</f>
        <v>0</v>
      </c>
      <c r="DV267" s="1">
        <f>$CU267*Table1[[#This Row],[Male% (25-29)]]</f>
        <v>0</v>
      </c>
      <c r="DW267" s="1">
        <f>$AF267*Table1[[#This Row],[Total%   (30-34)]]</f>
        <v>0</v>
      </c>
      <c r="DX267" s="1">
        <f>$CT267*Table1[[#This Row],[Female%   (30-34)]]</f>
        <v>0</v>
      </c>
      <c r="DY267" s="1">
        <f>$CU267*Table1[[#This Row],[Male%  (30-34)]]</f>
        <v>0</v>
      </c>
      <c r="DZ267" s="1">
        <f>$AF267*Table1[[#This Row],[Total% (35-39)]]</f>
        <v>0</v>
      </c>
      <c r="EA267" s="1">
        <f>$CT267*Table1[[#This Row],[Female% (35-39)]]</f>
        <v>0</v>
      </c>
      <c r="EB267" s="1">
        <f>$CU267*Table1[[#This Row],[Male% (35-39)]]</f>
        <v>0</v>
      </c>
      <c r="EC267" s="1">
        <f>$AF267*Table1[[#This Row],[Total% (40-44)]]</f>
        <v>0</v>
      </c>
      <c r="ED267" s="1">
        <f>$CT267*Table1[[#This Row],[Female% (40-44)]]</f>
        <v>0</v>
      </c>
      <c r="EE267" s="1">
        <f>$CU267*Table1[[#This Row],[Male%(55-59)]]</f>
        <v>0</v>
      </c>
      <c r="EF267" s="1">
        <f>$AF267*Table1[[#This Row],[Total% (45-49)]]</f>
        <v>0</v>
      </c>
      <c r="EG267" s="1">
        <f>$CT267*Table1[[#This Row],[Female% (45-49)]]</f>
        <v>0</v>
      </c>
      <c r="EH267" s="1">
        <f>$CU267*Table1[[#This Row],[Male% (45-49)]]</f>
        <v>0</v>
      </c>
      <c r="EI267" s="1">
        <f>$AF267*Table1[[#This Row],[Total% (50-54)]]</f>
        <v>0</v>
      </c>
      <c r="EJ267" s="1">
        <f>$CT267*Table1[[#This Row],[Female%(50-54)]]</f>
        <v>0</v>
      </c>
      <c r="EK267" s="1">
        <f>$CU267*Table1[[#This Row],[Male% (50-54)]]</f>
        <v>0</v>
      </c>
      <c r="EL267" s="1">
        <f>$AF267*Table1[[#This Row],[Total% (55-59)]]</f>
        <v>0</v>
      </c>
      <c r="EM267" s="1">
        <f>$CT267*Table1[[#This Row],[Female% (55-59)]]</f>
        <v>0</v>
      </c>
      <c r="EN267" s="1">
        <f>$CU267*Table1[[#This Row],[Male% (55-59)]]</f>
        <v>0</v>
      </c>
      <c r="EO267" s="1">
        <f>$AF267*Table1[[#This Row],[Total% (60-64)]]</f>
        <v>0</v>
      </c>
      <c r="EP267" s="1">
        <f>$CT267*Table1[[#This Row],[Female%(60-64)]]</f>
        <v>0</v>
      </c>
      <c r="EQ267" s="1">
        <f>$CU267*Table1[[#This Row],[Male%(60-64)]]</f>
        <v>0</v>
      </c>
      <c r="ER267" s="1">
        <f>$AF267*Table1[[#This Row],[Total% (&gt;=65)]]</f>
        <v>0</v>
      </c>
      <c r="ES267" s="1">
        <f>$CT267*Table1[[#This Row],[Female%(&gt;=65)]]</f>
        <v>0</v>
      </c>
      <c r="ET267" s="1">
        <f>$CU267*Table1[[#This Row],[Male% (&gt;=65)]]</f>
        <v>0</v>
      </c>
    </row>
    <row r="268" spans="1:150" hidden="1" x14ac:dyDescent="0.35">
      <c r="A268" t="s">
        <v>205</v>
      </c>
      <c r="B268" t="s">
        <v>206</v>
      </c>
      <c r="C268" t="s">
        <v>416</v>
      </c>
      <c r="D268" t="s">
        <v>417</v>
      </c>
      <c r="E268" t="s">
        <v>456</v>
      </c>
      <c r="F268" t="s">
        <v>457</v>
      </c>
      <c r="H268">
        <v>4</v>
      </c>
      <c r="I268" s="1">
        <v>0</v>
      </c>
      <c r="J268" s="1">
        <v>0</v>
      </c>
      <c r="K268" s="1">
        <v>8394</v>
      </c>
      <c r="L268" s="1">
        <v>7409</v>
      </c>
      <c r="M268" s="1">
        <v>0</v>
      </c>
      <c r="N268" s="1">
        <v>15803</v>
      </c>
      <c r="O268" s="3">
        <v>1</v>
      </c>
      <c r="P268" s="3">
        <v>0</v>
      </c>
      <c r="Q268" s="3">
        <v>0</v>
      </c>
      <c r="R268" s="3">
        <v>0</v>
      </c>
      <c r="S268" s="3">
        <v>0</v>
      </c>
      <c r="T268" s="1">
        <v>15803</v>
      </c>
      <c r="U268" s="1">
        <v>0</v>
      </c>
      <c r="V268" s="10">
        <f>Table1[[#This Row],[Pop NW+RATAA]]*Table1[[#This Row],[Perc_pop_Northern_Aleppo]]</f>
        <v>0</v>
      </c>
      <c r="W268" s="10">
        <f>Table1[[#This Row],[Pop NW+RATAA]]*Table1[[#This Row],[Perc_pop_Afrin District]]</f>
        <v>0</v>
      </c>
      <c r="X268" s="10">
        <f>Table1[[#This Row],[Pop NW+RATAA]]*Table1[[#This Row],[Perc_pop_Euphrates Shiled]]</f>
        <v>0</v>
      </c>
      <c r="Y268" s="10">
        <f>Table1[[#This Row],[Pop NW+RATAA]]*Table1[[#This Row],[Perc_Pop_Idleb_NSAG]]</f>
        <v>0</v>
      </c>
      <c r="Z268" s="3">
        <v>0</v>
      </c>
      <c r="AA268" s="3">
        <v>0</v>
      </c>
      <c r="AB268" s="3">
        <v>0</v>
      </c>
      <c r="AC268" s="3">
        <v>0</v>
      </c>
      <c r="AD268" s="1">
        <v>15803</v>
      </c>
      <c r="AE268" s="1">
        <v>0</v>
      </c>
      <c r="AF268" s="1">
        <v>0</v>
      </c>
      <c r="AG268" s="1">
        <v>0</v>
      </c>
      <c r="AH268" s="1">
        <v>0</v>
      </c>
      <c r="AI268" s="1">
        <f>Table1[[#This Row],[NWS_pin]]*Table1[[#This Row],[Perc_pop_Northern_Aleppo]]</f>
        <v>0</v>
      </c>
      <c r="AJ268" s="1">
        <f>Table1[[#This Row],[NWS_pin]]*Table1[[#This Row],[Perc_pop_Afrin District]]</f>
        <v>0</v>
      </c>
      <c r="AK268" s="1">
        <f>Table1[[#This Row],[NWS_pin]]*Table1[[#This Row],[Perc_pop_Euphrates Shiled]]</f>
        <v>0</v>
      </c>
      <c r="AL268" s="1">
        <f>Table1[[#This Row],[NWS_pin]]*Table1[[#This Row],[Perc_Pop_Idleb_NSAG]]</f>
        <v>0</v>
      </c>
      <c r="AM268" s="4">
        <v>0.45781282299845699</v>
      </c>
      <c r="AN268" s="4">
        <v>0.54218717700154295</v>
      </c>
      <c r="AO268" s="4">
        <v>0.10692529656941301</v>
      </c>
      <c r="AP268" s="4">
        <v>0.432230120308152</v>
      </c>
      <c r="AQ268" s="4">
        <v>0.54197276733030397</v>
      </c>
      <c r="AR268" s="4">
        <v>3.5016860502910699E-3</v>
      </c>
      <c r="AS268" s="4">
        <v>0</v>
      </c>
      <c r="AT268" s="4">
        <v>2.2295426311253499E-2</v>
      </c>
      <c r="AU268" s="4">
        <v>5.9841144648748297E-2</v>
      </c>
      <c r="AV268" s="4">
        <v>4.4258681557790197E-2</v>
      </c>
      <c r="AW268" s="4">
        <v>7.2998688241706605E-2</v>
      </c>
      <c r="AX268" s="4">
        <v>0.105203040950558</v>
      </c>
      <c r="AY268" s="4">
        <v>8.9821435457912893E-2</v>
      </c>
      <c r="AZ268" s="4">
        <v>0.118190984102921</v>
      </c>
      <c r="BA268" s="4">
        <v>7.6606993239279705E-2</v>
      </c>
      <c r="BB268" s="4">
        <v>6.9954975919874193E-2</v>
      </c>
      <c r="BC268" s="4">
        <v>8.2223833616201905E-2</v>
      </c>
      <c r="BD268" s="4">
        <v>0.11163498296662699</v>
      </c>
      <c r="BE268" s="4">
        <v>8.9463170051249305E-2</v>
      </c>
      <c r="BF268" s="4">
        <v>0.13035645166295201</v>
      </c>
      <c r="BG268" s="4">
        <v>8.1421526886421097E-2</v>
      </c>
      <c r="BH268" s="4">
        <v>7.6819276347054904E-2</v>
      </c>
      <c r="BI268" s="4">
        <v>8.53075821104224E-2</v>
      </c>
      <c r="BJ268" s="4">
        <v>6.7934970057639404E-2</v>
      </c>
      <c r="BK268" s="4">
        <v>6.9670257465359098E-2</v>
      </c>
      <c r="BL268" s="4">
        <v>6.6469725469533697E-2</v>
      </c>
      <c r="BM268" s="4">
        <v>2.1297696290349499E-2</v>
      </c>
      <c r="BN268" s="4">
        <v>2.5176215847891401E-2</v>
      </c>
      <c r="BO268" s="4">
        <v>1.8022746119980702E-2</v>
      </c>
      <c r="BP268" s="4">
        <v>3.45253096466843E-2</v>
      </c>
      <c r="BQ268" s="4">
        <v>3.7660553389052401E-2</v>
      </c>
      <c r="BR268" s="4">
        <v>3.1877967825692403E-2</v>
      </c>
      <c r="BS268" s="4">
        <v>8.8843981593719396E-2</v>
      </c>
      <c r="BT268" s="4">
        <v>0.14008368750189501</v>
      </c>
      <c r="BU268" s="4">
        <v>4.5578121745901701E-2</v>
      </c>
      <c r="BV268" s="4">
        <v>9.7924703290381304E-2</v>
      </c>
      <c r="BW268" s="4">
        <v>0.10190850170384599</v>
      </c>
      <c r="BX268" s="4">
        <v>9.4560857601497003E-2</v>
      </c>
      <c r="BY268" s="4">
        <v>0.11969742877532701</v>
      </c>
      <c r="BZ268" s="4">
        <v>0.14170701936232699</v>
      </c>
      <c r="CA268" s="4">
        <v>0.10111293761233101</v>
      </c>
      <c r="CB268" s="4">
        <v>4.9565212840280801E-2</v>
      </c>
      <c r="CC268" s="4">
        <v>3.9143758434716798E-2</v>
      </c>
      <c r="CD268" s="4">
        <v>5.83648961665197E-2</v>
      </c>
      <c r="CE268" s="4">
        <v>3.31608473606173E-2</v>
      </c>
      <c r="CF268" s="4">
        <v>2.9186217448359399E-2</v>
      </c>
      <c r="CG268" s="4">
        <v>3.6516951336679697E-2</v>
      </c>
      <c r="CH268" s="4">
        <v>1.42690701658418E-2</v>
      </c>
      <c r="CI268" s="4">
        <v>1.8841070776896202E-2</v>
      </c>
      <c r="CJ268" s="4">
        <v>1.0408557421750101E-2</v>
      </c>
      <c r="CK268" s="4">
        <v>1.10050975789886E-2</v>
      </c>
      <c r="CL268" s="4">
        <v>0</v>
      </c>
      <c r="CM268" s="4">
        <v>2.0297598404761402E-2</v>
      </c>
      <c r="CN268" s="4">
        <v>1.2966940299625499E-2</v>
      </c>
      <c r="CO268" s="4">
        <v>2.18094434286559E-2</v>
      </c>
      <c r="CP268" s="4">
        <v>5.5004942241910597E-3</v>
      </c>
      <c r="CQ268" s="4">
        <v>1.41010534089106E-2</v>
      </c>
      <c r="CR268" s="4">
        <v>4.49573530711961E-3</v>
      </c>
      <c r="CS268" s="4">
        <v>2.2211606336957099E-2</v>
      </c>
      <c r="CT268" s="1">
        <f>Table1[[#This Row],[Female %]]*Table1[[#This Row],[NWS_pin]]</f>
        <v>0</v>
      </c>
      <c r="CU268" s="1">
        <f>Table1[[#This Row],[Male %]]*Table1[[#This Row],[NWS_pin]]</f>
        <v>0</v>
      </c>
      <c r="CV268" s="1">
        <f>Table1[[#This Row],[Female% (0-2)22]]+Table1[[#This Row],[Male%(0-2)3]]</f>
        <v>0</v>
      </c>
      <c r="CW268" s="1">
        <f>$CT268*Table1[[#This Row],[Female% (0-2)]]</f>
        <v>0</v>
      </c>
      <c r="CX268" s="1">
        <f>$CU268*Table1[[#This Row],[Male%(0-2)]]</f>
        <v>0</v>
      </c>
      <c r="CY268" s="1">
        <f>Table1[[#This Row],[Female%  (3-5)5]]+Table1[[#This Row],[Male% (3-5)6]]</f>
        <v>0</v>
      </c>
      <c r="CZ268" s="1">
        <f>$AF268*Table1[[#This Row],[Female%  (3-5)]]</f>
        <v>0</v>
      </c>
      <c r="DA268" s="1">
        <f>$CU268*Table1[[#This Row],[Male% (3-5)]]</f>
        <v>0</v>
      </c>
      <c r="DB268" s="1">
        <f>Table1[[#This Row],[Female% (6-8)8]]+Table1[[#This Row],[Male%(6-8)9]]</f>
        <v>0</v>
      </c>
      <c r="DC268" s="1">
        <f>$CT268*Table1[[#This Row],[Female% (6-8)]]</f>
        <v>0</v>
      </c>
      <c r="DD268" s="1">
        <f>$CU268*Table1[[#This Row],[Male%(6-8)]]</f>
        <v>0</v>
      </c>
      <c r="DE268" s="1">
        <f>Table1[[#This Row],[Female% (9 - 11)11]]+Table1[[#This Row],[Male% (9 - 11)12]]</f>
        <v>0</v>
      </c>
      <c r="DF268" s="1">
        <f>$CT268*Table1[[#This Row],[Female% (9 - 11)]]</f>
        <v>0</v>
      </c>
      <c r="DG268" s="1">
        <f>$CU268*Table1[[#This Row],[Male% (9 - 11)]]</f>
        <v>0</v>
      </c>
      <c r="DH268" s="1">
        <f>Table1[[#This Row],[Female% (12-14)14]]+Table1[[#This Row],[Male%(12-14)15]]</f>
        <v>0</v>
      </c>
      <c r="DI268" s="1">
        <f>$CT268*Table1[[#This Row],[Female% (12-14)]]</f>
        <v>0</v>
      </c>
      <c r="DJ268" s="1">
        <f>$CU268*Table1[[#This Row],[Male%(12-14)]]</f>
        <v>0</v>
      </c>
      <c r="DK268" s="1">
        <f>Table1[[#This Row],[Female% (15-17)17]]+Table1[[#This Row],[Male%(15-17)18]]</f>
        <v>0</v>
      </c>
      <c r="DL268" s="1">
        <f>$CT268*Table1[[#This Row],[Female% (15-17)]]</f>
        <v>0</v>
      </c>
      <c r="DM268" s="1">
        <f>$CU268*Table1[[#This Row],[Male%(15-17)]]</f>
        <v>0</v>
      </c>
      <c r="DN268" s="1">
        <f>$AF268*Table1[[#This Row],[Total% (18-19)]]</f>
        <v>0</v>
      </c>
      <c r="DO268" s="1">
        <f>$CT268*Table1[[#This Row],[Female% (18-19)]]</f>
        <v>0</v>
      </c>
      <c r="DP268" s="1">
        <f>$CU268*Table1[[#This Row],[Male%(18-19)]]</f>
        <v>0</v>
      </c>
      <c r="DQ268" s="1">
        <f>$AF268*Table1[[#This Row],[Total% (20-24)]]</f>
        <v>0</v>
      </c>
      <c r="DR268" s="1">
        <f>$CT268*Table1[[#This Row],[Female% (20-24)]]</f>
        <v>0</v>
      </c>
      <c r="DS268" s="1">
        <f>$CU268*Table1[[#This Row],[Male% (20-24)]]</f>
        <v>0</v>
      </c>
      <c r="DT268" s="1">
        <f>$AF268*Table1[[#This Row],[Total% (25-29)]]</f>
        <v>0</v>
      </c>
      <c r="DU268" s="1">
        <f>$CT268*Table1[[#This Row],[Female% (25-29)]]</f>
        <v>0</v>
      </c>
      <c r="DV268" s="1">
        <f>$CU268*Table1[[#This Row],[Male% (25-29)]]</f>
        <v>0</v>
      </c>
      <c r="DW268" s="1">
        <f>$AF268*Table1[[#This Row],[Total%   (30-34)]]</f>
        <v>0</v>
      </c>
      <c r="DX268" s="1">
        <f>$CT268*Table1[[#This Row],[Female%   (30-34)]]</f>
        <v>0</v>
      </c>
      <c r="DY268" s="1">
        <f>$CU268*Table1[[#This Row],[Male%  (30-34)]]</f>
        <v>0</v>
      </c>
      <c r="DZ268" s="1">
        <f>$AF268*Table1[[#This Row],[Total% (35-39)]]</f>
        <v>0</v>
      </c>
      <c r="EA268" s="1">
        <f>$CT268*Table1[[#This Row],[Female% (35-39)]]</f>
        <v>0</v>
      </c>
      <c r="EB268" s="1">
        <f>$CU268*Table1[[#This Row],[Male% (35-39)]]</f>
        <v>0</v>
      </c>
      <c r="EC268" s="1">
        <f>$AF268*Table1[[#This Row],[Total% (40-44)]]</f>
        <v>0</v>
      </c>
      <c r="ED268" s="1">
        <f>$CT268*Table1[[#This Row],[Female% (40-44)]]</f>
        <v>0</v>
      </c>
      <c r="EE268" s="1">
        <f>$CU268*Table1[[#This Row],[Male%(55-59)]]</f>
        <v>0</v>
      </c>
      <c r="EF268" s="1">
        <f>$AF268*Table1[[#This Row],[Total% (45-49)]]</f>
        <v>0</v>
      </c>
      <c r="EG268" s="1">
        <f>$CT268*Table1[[#This Row],[Female% (45-49)]]</f>
        <v>0</v>
      </c>
      <c r="EH268" s="1">
        <f>$CU268*Table1[[#This Row],[Male% (45-49)]]</f>
        <v>0</v>
      </c>
      <c r="EI268" s="1">
        <f>$AF268*Table1[[#This Row],[Total% (50-54)]]</f>
        <v>0</v>
      </c>
      <c r="EJ268" s="1">
        <f>$CT268*Table1[[#This Row],[Female%(50-54)]]</f>
        <v>0</v>
      </c>
      <c r="EK268" s="1">
        <f>$CU268*Table1[[#This Row],[Male% (50-54)]]</f>
        <v>0</v>
      </c>
      <c r="EL268" s="1">
        <f>$AF268*Table1[[#This Row],[Total% (55-59)]]</f>
        <v>0</v>
      </c>
      <c r="EM268" s="1">
        <f>$CT268*Table1[[#This Row],[Female% (55-59)]]</f>
        <v>0</v>
      </c>
      <c r="EN268" s="1">
        <f>$CU268*Table1[[#This Row],[Male% (55-59)]]</f>
        <v>0</v>
      </c>
      <c r="EO268" s="1">
        <f>$AF268*Table1[[#This Row],[Total% (60-64)]]</f>
        <v>0</v>
      </c>
      <c r="EP268" s="1">
        <f>$CT268*Table1[[#This Row],[Female%(60-64)]]</f>
        <v>0</v>
      </c>
      <c r="EQ268" s="1">
        <f>$CU268*Table1[[#This Row],[Male%(60-64)]]</f>
        <v>0</v>
      </c>
      <c r="ER268" s="1">
        <f>$AF268*Table1[[#This Row],[Total% (&gt;=65)]]</f>
        <v>0</v>
      </c>
      <c r="ES268" s="1">
        <f>$CT268*Table1[[#This Row],[Female%(&gt;=65)]]</f>
        <v>0</v>
      </c>
      <c r="ET268" s="1">
        <f>$CU268*Table1[[#This Row],[Male% (&gt;=65)]]</f>
        <v>0</v>
      </c>
    </row>
    <row r="269" spans="1:150" hidden="1" x14ac:dyDescent="0.35">
      <c r="A269" t="s">
        <v>326</v>
      </c>
      <c r="B269" t="s">
        <v>327</v>
      </c>
      <c r="C269" t="s">
        <v>326</v>
      </c>
      <c r="D269" t="s">
        <v>328</v>
      </c>
      <c r="E269" t="s">
        <v>326</v>
      </c>
      <c r="F269" t="s">
        <v>542</v>
      </c>
      <c r="H269">
        <v>4</v>
      </c>
      <c r="I269" s="1">
        <v>0</v>
      </c>
      <c r="J269" s="1">
        <v>46</v>
      </c>
      <c r="K269" s="1">
        <v>5408</v>
      </c>
      <c r="L269" s="1">
        <v>2222</v>
      </c>
      <c r="M269" s="1">
        <v>0</v>
      </c>
      <c r="N269" s="1">
        <v>7630</v>
      </c>
      <c r="O269" s="3">
        <v>1</v>
      </c>
      <c r="P269" s="3">
        <v>0</v>
      </c>
      <c r="Q269" s="3">
        <v>0</v>
      </c>
      <c r="R269" s="3">
        <v>0</v>
      </c>
      <c r="S269" s="3">
        <v>0</v>
      </c>
      <c r="T269" s="1">
        <v>7676</v>
      </c>
      <c r="U269" s="1">
        <v>0</v>
      </c>
      <c r="V269" s="10">
        <f>Table1[[#This Row],[Pop NW+RATAA]]*Table1[[#This Row],[Perc_pop_Northern_Aleppo]]</f>
        <v>0</v>
      </c>
      <c r="W269" s="10">
        <f>Table1[[#This Row],[Pop NW+RATAA]]*Table1[[#This Row],[Perc_pop_Afrin District]]</f>
        <v>0</v>
      </c>
      <c r="X269" s="10">
        <f>Table1[[#This Row],[Pop NW+RATAA]]*Table1[[#This Row],[Perc_pop_Euphrates Shiled]]</f>
        <v>0</v>
      </c>
      <c r="Y269" s="10">
        <f>Table1[[#This Row],[Pop NW+RATAA]]*Table1[[#This Row],[Perc_Pop_Idleb_NSAG]]</f>
        <v>0</v>
      </c>
      <c r="Z269" s="3">
        <v>0</v>
      </c>
      <c r="AA269" s="3">
        <v>0</v>
      </c>
      <c r="AB269" s="3">
        <v>0</v>
      </c>
      <c r="AC269" s="3">
        <v>0</v>
      </c>
      <c r="AD269" s="1">
        <v>7630</v>
      </c>
      <c r="AE269" s="1">
        <v>0</v>
      </c>
      <c r="AF269" s="1">
        <v>0</v>
      </c>
      <c r="AG269" s="1">
        <v>0</v>
      </c>
      <c r="AH269" s="1">
        <v>0</v>
      </c>
      <c r="AI269" s="1">
        <f>Table1[[#This Row],[NWS_pin]]*Table1[[#This Row],[Perc_pop_Northern_Aleppo]]</f>
        <v>0</v>
      </c>
      <c r="AJ269" s="1">
        <f>Table1[[#This Row],[NWS_pin]]*Table1[[#This Row],[Perc_pop_Afrin District]]</f>
        <v>0</v>
      </c>
      <c r="AK269" s="1">
        <f>Table1[[#This Row],[NWS_pin]]*Table1[[#This Row],[Perc_pop_Euphrates Shiled]]</f>
        <v>0</v>
      </c>
      <c r="AL269" s="1">
        <f>Table1[[#This Row],[NWS_pin]]*Table1[[#This Row],[Perc_Pop_Idleb_NSAG]]</f>
        <v>0</v>
      </c>
      <c r="AM269" s="4">
        <v>0.46496903936301498</v>
      </c>
      <c r="AN269" s="4">
        <v>0.53503096063698496</v>
      </c>
      <c r="AO269" s="4">
        <v>0.102389443651926</v>
      </c>
      <c r="AP269" s="4">
        <v>0.44066289867264402</v>
      </c>
      <c r="AQ269" s="4">
        <v>0.54065342568697305</v>
      </c>
      <c r="AR269" s="4">
        <v>6.6137493996177204E-3</v>
      </c>
      <c r="AS269" s="4">
        <v>0</v>
      </c>
      <c r="AT269" s="4">
        <v>1.2069926240766001E-2</v>
      </c>
      <c r="AU269" s="4">
        <v>6.00806864243357E-2</v>
      </c>
      <c r="AV269" s="4">
        <v>4.88344141172114E-2</v>
      </c>
      <c r="AW269" s="4">
        <v>6.9854267423896499E-2</v>
      </c>
      <c r="AX269" s="4">
        <v>0.115538601051541</v>
      </c>
      <c r="AY269" s="4">
        <v>0.12321070528085599</v>
      </c>
      <c r="AZ269" s="4">
        <v>0.108871153378699</v>
      </c>
      <c r="BA269" s="4">
        <v>0.11077632033861801</v>
      </c>
      <c r="BB269" s="4">
        <v>0.124499019148582</v>
      </c>
      <c r="BC269" s="4">
        <v>9.8850599113924201E-2</v>
      </c>
      <c r="BD269" s="4">
        <v>8.6075423049014596E-2</v>
      </c>
      <c r="BE269" s="4">
        <v>7.4484963236227095E-2</v>
      </c>
      <c r="BF269" s="4">
        <v>9.6148120446771401E-2</v>
      </c>
      <c r="BG269" s="4">
        <v>5.9578588394605198E-2</v>
      </c>
      <c r="BH269" s="4">
        <v>4.3027836759718302E-2</v>
      </c>
      <c r="BI269" s="4">
        <v>7.3962030951363403E-2</v>
      </c>
      <c r="BJ269" s="4">
        <v>8.15895412788466E-2</v>
      </c>
      <c r="BK269" s="4">
        <v>8.79309920877311E-2</v>
      </c>
      <c r="BL269" s="4">
        <v>7.6078498913626502E-2</v>
      </c>
      <c r="BM269" s="4">
        <v>2.20829744088595E-2</v>
      </c>
      <c r="BN269" s="4">
        <v>1.20265491532578E-2</v>
      </c>
      <c r="BO269" s="4">
        <v>3.0822517976499399E-2</v>
      </c>
      <c r="BP269" s="4">
        <v>3.1061124873624099E-2</v>
      </c>
      <c r="BQ269" s="4">
        <v>2.7739898659531401E-2</v>
      </c>
      <c r="BR269" s="4">
        <v>3.3947438892602301E-2</v>
      </c>
      <c r="BS269" s="4">
        <v>4.7145136795472199E-2</v>
      </c>
      <c r="BT269" s="4">
        <v>4.1935626912226902E-2</v>
      </c>
      <c r="BU269" s="4">
        <v>5.1672465088924299E-2</v>
      </c>
      <c r="BV269" s="4">
        <v>9.5873843636715098E-2</v>
      </c>
      <c r="BW269" s="4">
        <v>0.140248983693154</v>
      </c>
      <c r="BX269" s="4">
        <v>5.7309596403103298E-2</v>
      </c>
      <c r="BY269" s="4">
        <v>0.116017487149271</v>
      </c>
      <c r="BZ269" s="4">
        <v>0.13735075431903901</v>
      </c>
      <c r="CA269" s="4">
        <v>9.7477796043185794E-2</v>
      </c>
      <c r="CB269" s="4">
        <v>8.1711858792445496E-2</v>
      </c>
      <c r="CC269" s="4">
        <v>7.1477703608670395E-2</v>
      </c>
      <c r="CD269" s="4">
        <v>9.0605858681398699E-2</v>
      </c>
      <c r="CE269" s="4">
        <v>4.7070375638341697E-2</v>
      </c>
      <c r="CF269" s="4">
        <v>4.0005390263745201E-2</v>
      </c>
      <c r="CG269" s="4">
        <v>5.3210206235862402E-2</v>
      </c>
      <c r="CH269" s="4">
        <v>2.2106960765855999E-2</v>
      </c>
      <c r="CI269" s="4">
        <v>2.10141575819912E-2</v>
      </c>
      <c r="CJ269" s="4">
        <v>2.30566621551168E-2</v>
      </c>
      <c r="CK269" s="4">
        <v>1.06242116114136E-2</v>
      </c>
      <c r="CL269" s="4">
        <v>6.2130051780595E-3</v>
      </c>
      <c r="CM269" s="4">
        <v>1.44577737202432E-2</v>
      </c>
      <c r="CN269" s="4">
        <v>9.7436196103028398E-3</v>
      </c>
      <c r="CO269" s="4">
        <v>0</v>
      </c>
      <c r="CP269" s="4">
        <v>1.82113192079623E-2</v>
      </c>
      <c r="CQ269" s="4">
        <v>2.92324618073785E-3</v>
      </c>
      <c r="CR269" s="4">
        <v>0</v>
      </c>
      <c r="CS269" s="4">
        <v>5.4636953668205698E-3</v>
      </c>
      <c r="CT269" s="1">
        <f>Table1[[#This Row],[Female %]]*Table1[[#This Row],[NWS_pin]]</f>
        <v>0</v>
      </c>
      <c r="CU269" s="1">
        <f>Table1[[#This Row],[Male %]]*Table1[[#This Row],[NWS_pin]]</f>
        <v>0</v>
      </c>
      <c r="CV269" s="1">
        <f>Table1[[#This Row],[Female% (0-2)22]]+Table1[[#This Row],[Male%(0-2)3]]</f>
        <v>0</v>
      </c>
      <c r="CW269" s="1">
        <f>$CT269*Table1[[#This Row],[Female% (0-2)]]</f>
        <v>0</v>
      </c>
      <c r="CX269" s="1">
        <f>$CU269*Table1[[#This Row],[Male%(0-2)]]</f>
        <v>0</v>
      </c>
      <c r="CY269" s="1">
        <f>Table1[[#This Row],[Female%  (3-5)5]]+Table1[[#This Row],[Male% (3-5)6]]</f>
        <v>0</v>
      </c>
      <c r="CZ269" s="1">
        <f>$AF269*Table1[[#This Row],[Female%  (3-5)]]</f>
        <v>0</v>
      </c>
      <c r="DA269" s="1">
        <f>$CU269*Table1[[#This Row],[Male% (3-5)]]</f>
        <v>0</v>
      </c>
      <c r="DB269" s="1">
        <f>Table1[[#This Row],[Female% (6-8)8]]+Table1[[#This Row],[Male%(6-8)9]]</f>
        <v>0</v>
      </c>
      <c r="DC269" s="1">
        <f>$CT269*Table1[[#This Row],[Female% (6-8)]]</f>
        <v>0</v>
      </c>
      <c r="DD269" s="1">
        <f>$CU269*Table1[[#This Row],[Male%(6-8)]]</f>
        <v>0</v>
      </c>
      <c r="DE269" s="1">
        <f>Table1[[#This Row],[Female% (9 - 11)11]]+Table1[[#This Row],[Male% (9 - 11)12]]</f>
        <v>0</v>
      </c>
      <c r="DF269" s="1">
        <f>$CT269*Table1[[#This Row],[Female% (9 - 11)]]</f>
        <v>0</v>
      </c>
      <c r="DG269" s="1">
        <f>$CU269*Table1[[#This Row],[Male% (9 - 11)]]</f>
        <v>0</v>
      </c>
      <c r="DH269" s="1">
        <f>Table1[[#This Row],[Female% (12-14)14]]+Table1[[#This Row],[Male%(12-14)15]]</f>
        <v>0</v>
      </c>
      <c r="DI269" s="1">
        <f>$CT269*Table1[[#This Row],[Female% (12-14)]]</f>
        <v>0</v>
      </c>
      <c r="DJ269" s="1">
        <f>$CU269*Table1[[#This Row],[Male%(12-14)]]</f>
        <v>0</v>
      </c>
      <c r="DK269" s="1">
        <f>Table1[[#This Row],[Female% (15-17)17]]+Table1[[#This Row],[Male%(15-17)18]]</f>
        <v>0</v>
      </c>
      <c r="DL269" s="1">
        <f>$CT269*Table1[[#This Row],[Female% (15-17)]]</f>
        <v>0</v>
      </c>
      <c r="DM269" s="1">
        <f>$CU269*Table1[[#This Row],[Male%(15-17)]]</f>
        <v>0</v>
      </c>
      <c r="DN269" s="1">
        <f>$AF269*Table1[[#This Row],[Total% (18-19)]]</f>
        <v>0</v>
      </c>
      <c r="DO269" s="1">
        <f>$CT269*Table1[[#This Row],[Female% (18-19)]]</f>
        <v>0</v>
      </c>
      <c r="DP269" s="1">
        <f>$CU269*Table1[[#This Row],[Male%(18-19)]]</f>
        <v>0</v>
      </c>
      <c r="DQ269" s="1">
        <f>$AF269*Table1[[#This Row],[Total% (20-24)]]</f>
        <v>0</v>
      </c>
      <c r="DR269" s="1">
        <f>$CT269*Table1[[#This Row],[Female% (20-24)]]</f>
        <v>0</v>
      </c>
      <c r="DS269" s="1">
        <f>$CU269*Table1[[#This Row],[Male% (20-24)]]</f>
        <v>0</v>
      </c>
      <c r="DT269" s="1">
        <f>$AF269*Table1[[#This Row],[Total% (25-29)]]</f>
        <v>0</v>
      </c>
      <c r="DU269" s="1">
        <f>$CT269*Table1[[#This Row],[Female% (25-29)]]</f>
        <v>0</v>
      </c>
      <c r="DV269" s="1">
        <f>$CU269*Table1[[#This Row],[Male% (25-29)]]</f>
        <v>0</v>
      </c>
      <c r="DW269" s="1">
        <f>$AF269*Table1[[#This Row],[Total%   (30-34)]]</f>
        <v>0</v>
      </c>
      <c r="DX269" s="1">
        <f>$CT269*Table1[[#This Row],[Female%   (30-34)]]</f>
        <v>0</v>
      </c>
      <c r="DY269" s="1">
        <f>$CU269*Table1[[#This Row],[Male%  (30-34)]]</f>
        <v>0</v>
      </c>
      <c r="DZ269" s="1">
        <f>$AF269*Table1[[#This Row],[Total% (35-39)]]</f>
        <v>0</v>
      </c>
      <c r="EA269" s="1">
        <f>$CT269*Table1[[#This Row],[Female% (35-39)]]</f>
        <v>0</v>
      </c>
      <c r="EB269" s="1">
        <f>$CU269*Table1[[#This Row],[Male% (35-39)]]</f>
        <v>0</v>
      </c>
      <c r="EC269" s="1">
        <f>$AF269*Table1[[#This Row],[Total% (40-44)]]</f>
        <v>0</v>
      </c>
      <c r="ED269" s="1">
        <f>$CT269*Table1[[#This Row],[Female% (40-44)]]</f>
        <v>0</v>
      </c>
      <c r="EE269" s="1">
        <f>$CU269*Table1[[#This Row],[Male%(55-59)]]</f>
        <v>0</v>
      </c>
      <c r="EF269" s="1">
        <f>$AF269*Table1[[#This Row],[Total% (45-49)]]</f>
        <v>0</v>
      </c>
      <c r="EG269" s="1">
        <f>$CT269*Table1[[#This Row],[Female% (45-49)]]</f>
        <v>0</v>
      </c>
      <c r="EH269" s="1">
        <f>$CU269*Table1[[#This Row],[Male% (45-49)]]</f>
        <v>0</v>
      </c>
      <c r="EI269" s="1">
        <f>$AF269*Table1[[#This Row],[Total% (50-54)]]</f>
        <v>0</v>
      </c>
      <c r="EJ269" s="1">
        <f>$CT269*Table1[[#This Row],[Female%(50-54)]]</f>
        <v>0</v>
      </c>
      <c r="EK269" s="1">
        <f>$CU269*Table1[[#This Row],[Male% (50-54)]]</f>
        <v>0</v>
      </c>
      <c r="EL269" s="1">
        <f>$AF269*Table1[[#This Row],[Total% (55-59)]]</f>
        <v>0</v>
      </c>
      <c r="EM269" s="1">
        <f>$CT269*Table1[[#This Row],[Female% (55-59)]]</f>
        <v>0</v>
      </c>
      <c r="EN269" s="1">
        <f>$CU269*Table1[[#This Row],[Male% (55-59)]]</f>
        <v>0</v>
      </c>
      <c r="EO269" s="1">
        <f>$AF269*Table1[[#This Row],[Total% (60-64)]]</f>
        <v>0</v>
      </c>
      <c r="EP269" s="1">
        <f>$CT269*Table1[[#This Row],[Female%(60-64)]]</f>
        <v>0</v>
      </c>
      <c r="EQ269" s="1">
        <f>$CU269*Table1[[#This Row],[Male%(60-64)]]</f>
        <v>0</v>
      </c>
      <c r="ER269" s="1">
        <f>$AF269*Table1[[#This Row],[Total% (&gt;=65)]]</f>
        <v>0</v>
      </c>
      <c r="ES269" s="1">
        <f>$CT269*Table1[[#This Row],[Female%(&gt;=65)]]</f>
        <v>0</v>
      </c>
      <c r="ET269" s="1">
        <f>$CU269*Table1[[#This Row],[Male% (&gt;=65)]]</f>
        <v>0</v>
      </c>
    </row>
    <row r="270" spans="1:150" hidden="1" x14ac:dyDescent="0.35">
      <c r="A270" t="s">
        <v>326</v>
      </c>
      <c r="B270" t="s">
        <v>327</v>
      </c>
      <c r="C270" t="s">
        <v>326</v>
      </c>
      <c r="D270" t="s">
        <v>328</v>
      </c>
      <c r="E270" t="s">
        <v>329</v>
      </c>
      <c r="F270" t="s">
        <v>330</v>
      </c>
      <c r="H270">
        <v>3</v>
      </c>
      <c r="I270" s="1">
        <v>0</v>
      </c>
      <c r="J270" s="1">
        <v>11150</v>
      </c>
      <c r="K270" s="1">
        <v>52512</v>
      </c>
      <c r="L270" s="1">
        <v>3055</v>
      </c>
      <c r="M270" s="1">
        <v>0</v>
      </c>
      <c r="N270" s="1">
        <v>55567</v>
      </c>
      <c r="O270" s="3">
        <v>1</v>
      </c>
      <c r="P270" s="3">
        <v>0</v>
      </c>
      <c r="Q270" s="3">
        <v>0</v>
      </c>
      <c r="R270" s="3">
        <v>0</v>
      </c>
      <c r="S270" s="3">
        <v>0</v>
      </c>
      <c r="T270" s="1">
        <v>66717</v>
      </c>
      <c r="U270" s="1">
        <v>0</v>
      </c>
      <c r="V270" s="10">
        <f>Table1[[#This Row],[Pop NW+RATAA]]*Table1[[#This Row],[Perc_pop_Northern_Aleppo]]</f>
        <v>0</v>
      </c>
      <c r="W270" s="10">
        <f>Table1[[#This Row],[Pop NW+RATAA]]*Table1[[#This Row],[Perc_pop_Afrin District]]</f>
        <v>0</v>
      </c>
      <c r="X270" s="10">
        <f>Table1[[#This Row],[Pop NW+RATAA]]*Table1[[#This Row],[Perc_pop_Euphrates Shiled]]</f>
        <v>0</v>
      </c>
      <c r="Y270" s="10">
        <f>Table1[[#This Row],[Pop NW+RATAA]]*Table1[[#This Row],[Perc_Pop_Idleb_NSAG]]</f>
        <v>0</v>
      </c>
      <c r="Z270" s="3">
        <v>0</v>
      </c>
      <c r="AA270" s="3">
        <v>0</v>
      </c>
      <c r="AB270" s="3">
        <v>0</v>
      </c>
      <c r="AC270" s="3">
        <v>0</v>
      </c>
      <c r="AD270" s="1">
        <v>55567</v>
      </c>
      <c r="AE270" s="1">
        <v>0</v>
      </c>
      <c r="AF270" s="1">
        <v>0</v>
      </c>
      <c r="AG270" s="1">
        <v>0</v>
      </c>
      <c r="AH270" s="1">
        <v>0</v>
      </c>
      <c r="AI270" s="1">
        <f>Table1[[#This Row],[NWS_pin]]*Table1[[#This Row],[Perc_pop_Northern_Aleppo]]</f>
        <v>0</v>
      </c>
      <c r="AJ270" s="1">
        <f>Table1[[#This Row],[NWS_pin]]*Table1[[#This Row],[Perc_pop_Afrin District]]</f>
        <v>0</v>
      </c>
      <c r="AK270" s="1">
        <f>Table1[[#This Row],[NWS_pin]]*Table1[[#This Row],[Perc_pop_Euphrates Shiled]]</f>
        <v>0</v>
      </c>
      <c r="AL270" s="1">
        <f>Table1[[#This Row],[NWS_pin]]*Table1[[#This Row],[Perc_Pop_Idleb_NSAG]]</f>
        <v>0</v>
      </c>
      <c r="AM270" s="4">
        <v>0.48618835601877303</v>
      </c>
      <c r="AN270" s="4">
        <v>0.51381164398122603</v>
      </c>
      <c r="AO270" s="4">
        <v>0.112038380290652</v>
      </c>
      <c r="AP270" s="4">
        <v>0.43527424906765</v>
      </c>
      <c r="AQ270" s="4">
        <v>0.55108456212491597</v>
      </c>
      <c r="AR270" s="4">
        <v>3.1800560050269698E-3</v>
      </c>
      <c r="AS270" s="4">
        <v>0</v>
      </c>
      <c r="AT270" s="4">
        <v>1.04611328024078E-2</v>
      </c>
      <c r="AU270" s="4">
        <v>9.5131235225810101E-2</v>
      </c>
      <c r="AV270" s="4">
        <v>0.11046560938873599</v>
      </c>
      <c r="AW270" s="4">
        <v>8.0621260116872706E-2</v>
      </c>
      <c r="AX270" s="4">
        <v>0.11032629535685801</v>
      </c>
      <c r="AY270" s="4">
        <v>9.4236096750622902E-2</v>
      </c>
      <c r="AZ270" s="4">
        <v>0.12555146064849401</v>
      </c>
      <c r="BA270" s="4">
        <v>8.1782661133698906E-2</v>
      </c>
      <c r="BB270" s="4">
        <v>7.3512511194623195E-2</v>
      </c>
      <c r="BC270" s="4">
        <v>8.9608195354279802E-2</v>
      </c>
      <c r="BD270" s="4">
        <v>7.2752651066819995E-2</v>
      </c>
      <c r="BE270" s="4">
        <v>6.86592266862317E-2</v>
      </c>
      <c r="BF270" s="4">
        <v>7.6626006786563297E-2</v>
      </c>
      <c r="BG270" s="4">
        <v>5.1017106361147299E-2</v>
      </c>
      <c r="BH270" s="4">
        <v>6.7516777906076797E-2</v>
      </c>
      <c r="BI270" s="4">
        <v>3.5404482012812898E-2</v>
      </c>
      <c r="BJ270" s="4">
        <v>7.2968706912207901E-2</v>
      </c>
      <c r="BK270" s="4">
        <v>5.4523033405023499E-2</v>
      </c>
      <c r="BL270" s="4">
        <v>9.0422713225939297E-2</v>
      </c>
      <c r="BM270" s="4">
        <v>3.9712721638021399E-2</v>
      </c>
      <c r="BN270" s="4">
        <v>4.4086175595207201E-2</v>
      </c>
      <c r="BO270" s="4">
        <v>3.5574391153542002E-2</v>
      </c>
      <c r="BP270" s="4">
        <v>6.0655702215217898E-2</v>
      </c>
      <c r="BQ270" s="4">
        <v>5.1954466589777197E-2</v>
      </c>
      <c r="BR270" s="4">
        <v>6.8889146306297194E-2</v>
      </c>
      <c r="BS270" s="4">
        <v>5.5395371400256903E-2</v>
      </c>
      <c r="BT270" s="4">
        <v>8.1945498900084193E-2</v>
      </c>
      <c r="BU270" s="4">
        <v>3.02726187487007E-2</v>
      </c>
      <c r="BV270" s="4">
        <v>8.9827017604672904E-2</v>
      </c>
      <c r="BW270" s="4">
        <v>0.10366300324092501</v>
      </c>
      <c r="BX270" s="4">
        <v>7.6734875398112301E-2</v>
      </c>
      <c r="BY270" s="4">
        <v>0.106247564738519</v>
      </c>
      <c r="BZ270" s="4">
        <v>9.9769806564668106E-2</v>
      </c>
      <c r="CA270" s="4">
        <v>0.11237706887515</v>
      </c>
      <c r="CB270" s="4">
        <v>5.47330420841892E-2</v>
      </c>
      <c r="CC270" s="4">
        <v>6.6924510931342607E-2</v>
      </c>
      <c r="CD270" s="4">
        <v>4.31970049669217E-2</v>
      </c>
      <c r="CE270" s="4">
        <v>5.3789515376873001E-2</v>
      </c>
      <c r="CF270" s="4">
        <v>5.6379894890500298E-2</v>
      </c>
      <c r="CG270" s="4">
        <v>5.13383985679257E-2</v>
      </c>
      <c r="CH270" s="4">
        <v>3.9265610566812603E-2</v>
      </c>
      <c r="CI270" s="4">
        <v>2.63633879561808E-2</v>
      </c>
      <c r="CJ270" s="4">
        <v>5.1474190254587403E-2</v>
      </c>
      <c r="CK270" s="4">
        <v>1.40433543937579E-2</v>
      </c>
      <c r="CL270" s="4">
        <v>0</v>
      </c>
      <c r="CM270" s="4">
        <v>2.73317169010498E-2</v>
      </c>
      <c r="CN270" s="4">
        <v>2.3514439251362102E-3</v>
      </c>
      <c r="CO270" s="4">
        <v>0</v>
      </c>
      <c r="CP270" s="4">
        <v>4.5764706827510701E-3</v>
      </c>
      <c r="CQ270" s="4">
        <v>0</v>
      </c>
      <c r="CR270" s="4">
        <v>0</v>
      </c>
      <c r="CS270" s="4">
        <v>0</v>
      </c>
      <c r="CT270" s="1">
        <f>Table1[[#This Row],[Female %]]*Table1[[#This Row],[NWS_pin]]</f>
        <v>0</v>
      </c>
      <c r="CU270" s="1">
        <f>Table1[[#This Row],[Male %]]*Table1[[#This Row],[NWS_pin]]</f>
        <v>0</v>
      </c>
      <c r="CV270" s="1">
        <f>Table1[[#This Row],[Female% (0-2)22]]+Table1[[#This Row],[Male%(0-2)3]]</f>
        <v>0</v>
      </c>
      <c r="CW270" s="1">
        <f>$CT270*Table1[[#This Row],[Female% (0-2)]]</f>
        <v>0</v>
      </c>
      <c r="CX270" s="1">
        <f>$CU270*Table1[[#This Row],[Male%(0-2)]]</f>
        <v>0</v>
      </c>
      <c r="CY270" s="1">
        <f>Table1[[#This Row],[Female%  (3-5)5]]+Table1[[#This Row],[Male% (3-5)6]]</f>
        <v>0</v>
      </c>
      <c r="CZ270" s="1">
        <f>$AF270*Table1[[#This Row],[Female%  (3-5)]]</f>
        <v>0</v>
      </c>
      <c r="DA270" s="1">
        <f>$CU270*Table1[[#This Row],[Male% (3-5)]]</f>
        <v>0</v>
      </c>
      <c r="DB270" s="1">
        <f>Table1[[#This Row],[Female% (6-8)8]]+Table1[[#This Row],[Male%(6-8)9]]</f>
        <v>0</v>
      </c>
      <c r="DC270" s="1">
        <f>$CT270*Table1[[#This Row],[Female% (6-8)]]</f>
        <v>0</v>
      </c>
      <c r="DD270" s="1">
        <f>$CU270*Table1[[#This Row],[Male%(6-8)]]</f>
        <v>0</v>
      </c>
      <c r="DE270" s="1">
        <f>Table1[[#This Row],[Female% (9 - 11)11]]+Table1[[#This Row],[Male% (9 - 11)12]]</f>
        <v>0</v>
      </c>
      <c r="DF270" s="1">
        <f>$CT270*Table1[[#This Row],[Female% (9 - 11)]]</f>
        <v>0</v>
      </c>
      <c r="DG270" s="1">
        <f>$CU270*Table1[[#This Row],[Male% (9 - 11)]]</f>
        <v>0</v>
      </c>
      <c r="DH270" s="1">
        <f>Table1[[#This Row],[Female% (12-14)14]]+Table1[[#This Row],[Male%(12-14)15]]</f>
        <v>0</v>
      </c>
      <c r="DI270" s="1">
        <f>$CT270*Table1[[#This Row],[Female% (12-14)]]</f>
        <v>0</v>
      </c>
      <c r="DJ270" s="1">
        <f>$CU270*Table1[[#This Row],[Male%(12-14)]]</f>
        <v>0</v>
      </c>
      <c r="DK270" s="1">
        <f>Table1[[#This Row],[Female% (15-17)17]]+Table1[[#This Row],[Male%(15-17)18]]</f>
        <v>0</v>
      </c>
      <c r="DL270" s="1">
        <f>$CT270*Table1[[#This Row],[Female% (15-17)]]</f>
        <v>0</v>
      </c>
      <c r="DM270" s="1">
        <f>$CU270*Table1[[#This Row],[Male%(15-17)]]</f>
        <v>0</v>
      </c>
      <c r="DN270" s="1">
        <f>$AF270*Table1[[#This Row],[Total% (18-19)]]</f>
        <v>0</v>
      </c>
      <c r="DO270" s="1">
        <f>$CT270*Table1[[#This Row],[Female% (18-19)]]</f>
        <v>0</v>
      </c>
      <c r="DP270" s="1">
        <f>$CU270*Table1[[#This Row],[Male%(18-19)]]</f>
        <v>0</v>
      </c>
      <c r="DQ270" s="1">
        <f>$AF270*Table1[[#This Row],[Total% (20-24)]]</f>
        <v>0</v>
      </c>
      <c r="DR270" s="1">
        <f>$CT270*Table1[[#This Row],[Female% (20-24)]]</f>
        <v>0</v>
      </c>
      <c r="DS270" s="1">
        <f>$CU270*Table1[[#This Row],[Male% (20-24)]]</f>
        <v>0</v>
      </c>
      <c r="DT270" s="1">
        <f>$AF270*Table1[[#This Row],[Total% (25-29)]]</f>
        <v>0</v>
      </c>
      <c r="DU270" s="1">
        <f>$CT270*Table1[[#This Row],[Female% (25-29)]]</f>
        <v>0</v>
      </c>
      <c r="DV270" s="1">
        <f>$CU270*Table1[[#This Row],[Male% (25-29)]]</f>
        <v>0</v>
      </c>
      <c r="DW270" s="1">
        <f>$AF270*Table1[[#This Row],[Total%   (30-34)]]</f>
        <v>0</v>
      </c>
      <c r="DX270" s="1">
        <f>$CT270*Table1[[#This Row],[Female%   (30-34)]]</f>
        <v>0</v>
      </c>
      <c r="DY270" s="1">
        <f>$CU270*Table1[[#This Row],[Male%  (30-34)]]</f>
        <v>0</v>
      </c>
      <c r="DZ270" s="1">
        <f>$AF270*Table1[[#This Row],[Total% (35-39)]]</f>
        <v>0</v>
      </c>
      <c r="EA270" s="1">
        <f>$CT270*Table1[[#This Row],[Female% (35-39)]]</f>
        <v>0</v>
      </c>
      <c r="EB270" s="1">
        <f>$CU270*Table1[[#This Row],[Male% (35-39)]]</f>
        <v>0</v>
      </c>
      <c r="EC270" s="1">
        <f>$AF270*Table1[[#This Row],[Total% (40-44)]]</f>
        <v>0</v>
      </c>
      <c r="ED270" s="1">
        <f>$CT270*Table1[[#This Row],[Female% (40-44)]]</f>
        <v>0</v>
      </c>
      <c r="EE270" s="1">
        <f>$CU270*Table1[[#This Row],[Male%(55-59)]]</f>
        <v>0</v>
      </c>
      <c r="EF270" s="1">
        <f>$AF270*Table1[[#This Row],[Total% (45-49)]]</f>
        <v>0</v>
      </c>
      <c r="EG270" s="1">
        <f>$CT270*Table1[[#This Row],[Female% (45-49)]]</f>
        <v>0</v>
      </c>
      <c r="EH270" s="1">
        <f>$CU270*Table1[[#This Row],[Male% (45-49)]]</f>
        <v>0</v>
      </c>
      <c r="EI270" s="1">
        <f>$AF270*Table1[[#This Row],[Total% (50-54)]]</f>
        <v>0</v>
      </c>
      <c r="EJ270" s="1">
        <f>$CT270*Table1[[#This Row],[Female%(50-54)]]</f>
        <v>0</v>
      </c>
      <c r="EK270" s="1">
        <f>$CU270*Table1[[#This Row],[Male% (50-54)]]</f>
        <v>0</v>
      </c>
      <c r="EL270" s="1">
        <f>$AF270*Table1[[#This Row],[Total% (55-59)]]</f>
        <v>0</v>
      </c>
      <c r="EM270" s="1">
        <f>$CT270*Table1[[#This Row],[Female% (55-59)]]</f>
        <v>0</v>
      </c>
      <c r="EN270" s="1">
        <f>$CU270*Table1[[#This Row],[Male% (55-59)]]</f>
        <v>0</v>
      </c>
      <c r="EO270" s="1">
        <f>$AF270*Table1[[#This Row],[Total% (60-64)]]</f>
        <v>0</v>
      </c>
      <c r="EP270" s="1">
        <f>$CT270*Table1[[#This Row],[Female%(60-64)]]</f>
        <v>0</v>
      </c>
      <c r="EQ270" s="1">
        <f>$CU270*Table1[[#This Row],[Male%(60-64)]]</f>
        <v>0</v>
      </c>
      <c r="ER270" s="1">
        <f>$AF270*Table1[[#This Row],[Total% (&gt;=65)]]</f>
        <v>0</v>
      </c>
      <c r="ES270" s="1">
        <f>$CT270*Table1[[#This Row],[Female%(&gt;=65)]]</f>
        <v>0</v>
      </c>
      <c r="ET270" s="1">
        <f>$CU270*Table1[[#This Row],[Male% (&gt;=65)]]</f>
        <v>0</v>
      </c>
    </row>
    <row r="271" spans="1:150" hidden="1" x14ac:dyDescent="0.35">
      <c r="A271" t="s">
        <v>326</v>
      </c>
      <c r="B271" t="s">
        <v>327</v>
      </c>
      <c r="C271" t="s">
        <v>326</v>
      </c>
      <c r="D271" t="s">
        <v>328</v>
      </c>
      <c r="E271" t="s">
        <v>503</v>
      </c>
      <c r="F271" t="s">
        <v>504</v>
      </c>
      <c r="H271">
        <v>4</v>
      </c>
      <c r="I271" s="1">
        <v>0</v>
      </c>
      <c r="J271" s="1">
        <v>148</v>
      </c>
      <c r="K271" s="1">
        <v>19618</v>
      </c>
      <c r="L271" s="1">
        <v>8749</v>
      </c>
      <c r="M271" s="1">
        <v>0</v>
      </c>
      <c r="N271" s="1">
        <v>28367</v>
      </c>
      <c r="O271" s="3">
        <v>1</v>
      </c>
      <c r="P271" s="3">
        <v>0</v>
      </c>
      <c r="Q271" s="3">
        <v>0</v>
      </c>
      <c r="R271" s="3">
        <v>0</v>
      </c>
      <c r="S271" s="3">
        <v>0</v>
      </c>
      <c r="T271" s="1">
        <v>28515</v>
      </c>
      <c r="U271" s="1">
        <v>0</v>
      </c>
      <c r="V271" s="10">
        <f>Table1[[#This Row],[Pop NW+RATAA]]*Table1[[#This Row],[Perc_pop_Northern_Aleppo]]</f>
        <v>0</v>
      </c>
      <c r="W271" s="10">
        <f>Table1[[#This Row],[Pop NW+RATAA]]*Table1[[#This Row],[Perc_pop_Afrin District]]</f>
        <v>0</v>
      </c>
      <c r="X271" s="10">
        <f>Table1[[#This Row],[Pop NW+RATAA]]*Table1[[#This Row],[Perc_pop_Euphrates Shiled]]</f>
        <v>0</v>
      </c>
      <c r="Y271" s="10">
        <f>Table1[[#This Row],[Pop NW+RATAA]]*Table1[[#This Row],[Perc_Pop_Idleb_NSAG]]</f>
        <v>0</v>
      </c>
      <c r="Z271" s="3">
        <v>0</v>
      </c>
      <c r="AA271" s="3">
        <v>0</v>
      </c>
      <c r="AB271" s="3">
        <v>0</v>
      </c>
      <c r="AC271" s="3">
        <v>0</v>
      </c>
      <c r="AD271" s="1">
        <v>28367</v>
      </c>
      <c r="AE271" s="1">
        <v>0</v>
      </c>
      <c r="AF271" s="1">
        <v>0</v>
      </c>
      <c r="AG271" s="1">
        <v>0</v>
      </c>
      <c r="AH271" s="1">
        <v>0</v>
      </c>
      <c r="AI271" s="1">
        <f>Table1[[#This Row],[NWS_pin]]*Table1[[#This Row],[Perc_pop_Northern_Aleppo]]</f>
        <v>0</v>
      </c>
      <c r="AJ271" s="1">
        <f>Table1[[#This Row],[NWS_pin]]*Table1[[#This Row],[Perc_pop_Afrin District]]</f>
        <v>0</v>
      </c>
      <c r="AK271" s="1">
        <f>Table1[[#This Row],[NWS_pin]]*Table1[[#This Row],[Perc_pop_Euphrates Shiled]]</f>
        <v>0</v>
      </c>
      <c r="AL271" s="1">
        <f>Table1[[#This Row],[NWS_pin]]*Table1[[#This Row],[Perc_Pop_Idleb_NSAG]]</f>
        <v>0</v>
      </c>
      <c r="AM271" s="4">
        <v>0.48170538753964698</v>
      </c>
      <c r="AN271" s="4">
        <v>0.51829461246035302</v>
      </c>
      <c r="AO271" s="4">
        <v>0.10930673406752101</v>
      </c>
      <c r="AP271" s="4">
        <v>0.45167555597036801</v>
      </c>
      <c r="AQ271" s="4">
        <v>0.50522405600634801</v>
      </c>
      <c r="AR271" s="4">
        <v>5.8332064432825396E-3</v>
      </c>
      <c r="AS271" s="4">
        <v>0</v>
      </c>
      <c r="AT271" s="4">
        <v>3.7267181580001502E-2</v>
      </c>
      <c r="AU271" s="4">
        <v>7.9565057936196101E-2</v>
      </c>
      <c r="AV271" s="4">
        <v>8.0967495756527494E-2</v>
      </c>
      <c r="AW271" s="4">
        <v>7.82616258002993E-2</v>
      </c>
      <c r="AX271" s="4">
        <v>0.100276341928614</v>
      </c>
      <c r="AY271" s="4">
        <v>0.13984673332264699</v>
      </c>
      <c r="AZ271" s="4">
        <v>6.3499438863628493E-2</v>
      </c>
      <c r="BA271" s="4">
        <v>5.1887443701658702E-2</v>
      </c>
      <c r="BB271" s="4">
        <v>4.9670156770936502E-2</v>
      </c>
      <c r="BC271" s="4">
        <v>5.3948200334223199E-2</v>
      </c>
      <c r="BD271" s="4">
        <v>5.1449847550309201E-2</v>
      </c>
      <c r="BE271" s="4">
        <v>3.2275890491133198E-2</v>
      </c>
      <c r="BF271" s="4">
        <v>6.9270211092223297E-2</v>
      </c>
      <c r="BG271" s="4">
        <v>3.4985934605878802E-2</v>
      </c>
      <c r="BH271" s="4">
        <v>5.9146629346538603E-2</v>
      </c>
      <c r="BI271" s="4">
        <v>1.25308742145904E-2</v>
      </c>
      <c r="BJ271" s="4">
        <v>6.8897087816865599E-2</v>
      </c>
      <c r="BK271" s="4">
        <v>5.3738914403949498E-2</v>
      </c>
      <c r="BL271" s="4">
        <v>8.2985163638453402E-2</v>
      </c>
      <c r="BM271" s="4">
        <v>1.49411452838944E-2</v>
      </c>
      <c r="BN271" s="4">
        <v>1.8094292020385001E-2</v>
      </c>
      <c r="BO271" s="4">
        <v>1.2010596259932E-2</v>
      </c>
      <c r="BP271" s="4">
        <v>7.6426672855363198E-2</v>
      </c>
      <c r="BQ271" s="4">
        <v>7.4878821945957005E-2</v>
      </c>
      <c r="BR271" s="4">
        <v>7.7865252582498906E-2</v>
      </c>
      <c r="BS271" s="4">
        <v>0.10643972203135001</v>
      </c>
      <c r="BT271" s="4">
        <v>6.0163891645034301E-2</v>
      </c>
      <c r="BU271" s="4">
        <v>0.14944869081869999</v>
      </c>
      <c r="BV271" s="4">
        <v>0.10372790512643</v>
      </c>
      <c r="BW271" s="4">
        <v>0.11233047847967501</v>
      </c>
      <c r="BX271" s="4">
        <v>9.5732634036706898E-2</v>
      </c>
      <c r="BY271" s="4">
        <v>0.12491656966447</v>
      </c>
      <c r="BZ271" s="4">
        <v>0.13393778862751701</v>
      </c>
      <c r="CA271" s="4">
        <v>0.116532207426849</v>
      </c>
      <c r="CB271" s="4">
        <v>5.3999322942583097E-2</v>
      </c>
      <c r="CC271" s="4">
        <v>4.4546221764954701E-2</v>
      </c>
      <c r="CD271" s="4">
        <v>6.2785078489230498E-2</v>
      </c>
      <c r="CE271" s="4">
        <v>7.5191445975440599E-2</v>
      </c>
      <c r="CF271" s="4">
        <v>8.1292367567343302E-2</v>
      </c>
      <c r="CG271" s="4">
        <v>6.95212214947621E-2</v>
      </c>
      <c r="CH271" s="4">
        <v>5.2679237122989497E-2</v>
      </c>
      <c r="CI271" s="4">
        <v>5.5273375492280202E-2</v>
      </c>
      <c r="CJ271" s="4">
        <v>5.0268233036763803E-2</v>
      </c>
      <c r="CK271" s="4">
        <v>4.6162654579576497E-3</v>
      </c>
      <c r="CL271" s="4">
        <v>3.83694236512036E-3</v>
      </c>
      <c r="CM271" s="4">
        <v>5.3405719111382704E-3</v>
      </c>
      <c r="CN271" s="4">
        <v>0</v>
      </c>
      <c r="CO271" s="4">
        <v>0</v>
      </c>
      <c r="CP271" s="4">
        <v>0</v>
      </c>
      <c r="CQ271" s="4">
        <v>0</v>
      </c>
      <c r="CR271" s="4">
        <v>0</v>
      </c>
      <c r="CS271" s="4">
        <v>0</v>
      </c>
      <c r="CT271" s="1">
        <f>Table1[[#This Row],[Female %]]*Table1[[#This Row],[NWS_pin]]</f>
        <v>0</v>
      </c>
      <c r="CU271" s="1">
        <f>Table1[[#This Row],[Male %]]*Table1[[#This Row],[NWS_pin]]</f>
        <v>0</v>
      </c>
      <c r="CV271" s="1">
        <f>Table1[[#This Row],[Female% (0-2)22]]+Table1[[#This Row],[Male%(0-2)3]]</f>
        <v>0</v>
      </c>
      <c r="CW271" s="1">
        <f>$CT271*Table1[[#This Row],[Female% (0-2)]]</f>
        <v>0</v>
      </c>
      <c r="CX271" s="1">
        <f>$CU271*Table1[[#This Row],[Male%(0-2)]]</f>
        <v>0</v>
      </c>
      <c r="CY271" s="1">
        <f>Table1[[#This Row],[Female%  (3-5)5]]+Table1[[#This Row],[Male% (3-5)6]]</f>
        <v>0</v>
      </c>
      <c r="CZ271" s="1">
        <f>$AF271*Table1[[#This Row],[Female%  (3-5)]]</f>
        <v>0</v>
      </c>
      <c r="DA271" s="1">
        <f>$CU271*Table1[[#This Row],[Male% (3-5)]]</f>
        <v>0</v>
      </c>
      <c r="DB271" s="1">
        <f>Table1[[#This Row],[Female% (6-8)8]]+Table1[[#This Row],[Male%(6-8)9]]</f>
        <v>0</v>
      </c>
      <c r="DC271" s="1">
        <f>$CT271*Table1[[#This Row],[Female% (6-8)]]</f>
        <v>0</v>
      </c>
      <c r="DD271" s="1">
        <f>$CU271*Table1[[#This Row],[Male%(6-8)]]</f>
        <v>0</v>
      </c>
      <c r="DE271" s="1">
        <f>Table1[[#This Row],[Female% (9 - 11)11]]+Table1[[#This Row],[Male% (9 - 11)12]]</f>
        <v>0</v>
      </c>
      <c r="DF271" s="1">
        <f>$CT271*Table1[[#This Row],[Female% (9 - 11)]]</f>
        <v>0</v>
      </c>
      <c r="DG271" s="1">
        <f>$CU271*Table1[[#This Row],[Male% (9 - 11)]]</f>
        <v>0</v>
      </c>
      <c r="DH271" s="1">
        <f>Table1[[#This Row],[Female% (12-14)14]]+Table1[[#This Row],[Male%(12-14)15]]</f>
        <v>0</v>
      </c>
      <c r="DI271" s="1">
        <f>$CT271*Table1[[#This Row],[Female% (12-14)]]</f>
        <v>0</v>
      </c>
      <c r="DJ271" s="1">
        <f>$CU271*Table1[[#This Row],[Male%(12-14)]]</f>
        <v>0</v>
      </c>
      <c r="DK271" s="1">
        <f>Table1[[#This Row],[Female% (15-17)17]]+Table1[[#This Row],[Male%(15-17)18]]</f>
        <v>0</v>
      </c>
      <c r="DL271" s="1">
        <f>$CT271*Table1[[#This Row],[Female% (15-17)]]</f>
        <v>0</v>
      </c>
      <c r="DM271" s="1">
        <f>$CU271*Table1[[#This Row],[Male%(15-17)]]</f>
        <v>0</v>
      </c>
      <c r="DN271" s="1">
        <f>$AF271*Table1[[#This Row],[Total% (18-19)]]</f>
        <v>0</v>
      </c>
      <c r="DO271" s="1">
        <f>$CT271*Table1[[#This Row],[Female% (18-19)]]</f>
        <v>0</v>
      </c>
      <c r="DP271" s="1">
        <f>$CU271*Table1[[#This Row],[Male%(18-19)]]</f>
        <v>0</v>
      </c>
      <c r="DQ271" s="1">
        <f>$AF271*Table1[[#This Row],[Total% (20-24)]]</f>
        <v>0</v>
      </c>
      <c r="DR271" s="1">
        <f>$CT271*Table1[[#This Row],[Female% (20-24)]]</f>
        <v>0</v>
      </c>
      <c r="DS271" s="1">
        <f>$CU271*Table1[[#This Row],[Male% (20-24)]]</f>
        <v>0</v>
      </c>
      <c r="DT271" s="1">
        <f>$AF271*Table1[[#This Row],[Total% (25-29)]]</f>
        <v>0</v>
      </c>
      <c r="DU271" s="1">
        <f>$CT271*Table1[[#This Row],[Female% (25-29)]]</f>
        <v>0</v>
      </c>
      <c r="DV271" s="1">
        <f>$CU271*Table1[[#This Row],[Male% (25-29)]]</f>
        <v>0</v>
      </c>
      <c r="DW271" s="1">
        <f>$AF271*Table1[[#This Row],[Total%   (30-34)]]</f>
        <v>0</v>
      </c>
      <c r="DX271" s="1">
        <f>$CT271*Table1[[#This Row],[Female%   (30-34)]]</f>
        <v>0</v>
      </c>
      <c r="DY271" s="1">
        <f>$CU271*Table1[[#This Row],[Male%  (30-34)]]</f>
        <v>0</v>
      </c>
      <c r="DZ271" s="1">
        <f>$AF271*Table1[[#This Row],[Total% (35-39)]]</f>
        <v>0</v>
      </c>
      <c r="EA271" s="1">
        <f>$CT271*Table1[[#This Row],[Female% (35-39)]]</f>
        <v>0</v>
      </c>
      <c r="EB271" s="1">
        <f>$CU271*Table1[[#This Row],[Male% (35-39)]]</f>
        <v>0</v>
      </c>
      <c r="EC271" s="1">
        <f>$AF271*Table1[[#This Row],[Total% (40-44)]]</f>
        <v>0</v>
      </c>
      <c r="ED271" s="1">
        <f>$CT271*Table1[[#This Row],[Female% (40-44)]]</f>
        <v>0</v>
      </c>
      <c r="EE271" s="1">
        <f>$CU271*Table1[[#This Row],[Male%(55-59)]]</f>
        <v>0</v>
      </c>
      <c r="EF271" s="1">
        <f>$AF271*Table1[[#This Row],[Total% (45-49)]]</f>
        <v>0</v>
      </c>
      <c r="EG271" s="1">
        <f>$CT271*Table1[[#This Row],[Female% (45-49)]]</f>
        <v>0</v>
      </c>
      <c r="EH271" s="1">
        <f>$CU271*Table1[[#This Row],[Male% (45-49)]]</f>
        <v>0</v>
      </c>
      <c r="EI271" s="1">
        <f>$AF271*Table1[[#This Row],[Total% (50-54)]]</f>
        <v>0</v>
      </c>
      <c r="EJ271" s="1">
        <f>$CT271*Table1[[#This Row],[Female%(50-54)]]</f>
        <v>0</v>
      </c>
      <c r="EK271" s="1">
        <f>$CU271*Table1[[#This Row],[Male% (50-54)]]</f>
        <v>0</v>
      </c>
      <c r="EL271" s="1">
        <f>$AF271*Table1[[#This Row],[Total% (55-59)]]</f>
        <v>0</v>
      </c>
      <c r="EM271" s="1">
        <f>$CT271*Table1[[#This Row],[Female% (55-59)]]</f>
        <v>0</v>
      </c>
      <c r="EN271" s="1">
        <f>$CU271*Table1[[#This Row],[Male% (55-59)]]</f>
        <v>0</v>
      </c>
      <c r="EO271" s="1">
        <f>$AF271*Table1[[#This Row],[Total% (60-64)]]</f>
        <v>0</v>
      </c>
      <c r="EP271" s="1">
        <f>$CT271*Table1[[#This Row],[Female%(60-64)]]</f>
        <v>0</v>
      </c>
      <c r="EQ271" s="1">
        <f>$CU271*Table1[[#This Row],[Male%(60-64)]]</f>
        <v>0</v>
      </c>
      <c r="ER271" s="1">
        <f>$AF271*Table1[[#This Row],[Total% (&gt;=65)]]</f>
        <v>0</v>
      </c>
      <c r="ES271" s="1">
        <f>$CT271*Table1[[#This Row],[Female%(&gt;=65)]]</f>
        <v>0</v>
      </c>
      <c r="ET271" s="1">
        <f>$CU271*Table1[[#This Row],[Male% (&gt;=65)]]</f>
        <v>0</v>
      </c>
    </row>
    <row r="272" spans="1:150" hidden="1" x14ac:dyDescent="0.35">
      <c r="A272" t="s">
        <v>326</v>
      </c>
      <c r="B272" t="s">
        <v>327</v>
      </c>
      <c r="C272" t="s">
        <v>600</v>
      </c>
      <c r="D272" t="s">
        <v>601</v>
      </c>
      <c r="E272" t="s">
        <v>602</v>
      </c>
      <c r="F272" t="s">
        <v>603</v>
      </c>
      <c r="H272">
        <v>3</v>
      </c>
      <c r="I272" s="1">
        <v>0</v>
      </c>
      <c r="J272" s="1">
        <v>158</v>
      </c>
      <c r="K272" s="1">
        <v>1832</v>
      </c>
      <c r="L272" s="1">
        <v>545</v>
      </c>
      <c r="M272" s="1">
        <v>0</v>
      </c>
      <c r="N272" s="1">
        <v>2377</v>
      </c>
      <c r="O272" s="3">
        <v>1</v>
      </c>
      <c r="P272" s="3">
        <v>0</v>
      </c>
      <c r="Q272" s="3">
        <v>0</v>
      </c>
      <c r="R272" s="3">
        <v>0</v>
      </c>
      <c r="S272" s="3">
        <v>0</v>
      </c>
      <c r="T272" s="1">
        <v>2535</v>
      </c>
      <c r="U272" s="1">
        <v>0</v>
      </c>
      <c r="V272" s="10">
        <f>Table1[[#This Row],[Pop NW+RATAA]]*Table1[[#This Row],[Perc_pop_Northern_Aleppo]]</f>
        <v>0</v>
      </c>
      <c r="W272" s="10">
        <f>Table1[[#This Row],[Pop NW+RATAA]]*Table1[[#This Row],[Perc_pop_Afrin District]]</f>
        <v>0</v>
      </c>
      <c r="X272" s="10">
        <f>Table1[[#This Row],[Pop NW+RATAA]]*Table1[[#This Row],[Perc_pop_Euphrates Shiled]]</f>
        <v>0</v>
      </c>
      <c r="Y272" s="10">
        <f>Table1[[#This Row],[Pop NW+RATAA]]*Table1[[#This Row],[Perc_Pop_Idleb_NSAG]]</f>
        <v>0</v>
      </c>
      <c r="Z272" s="3">
        <v>0</v>
      </c>
      <c r="AA272" s="3">
        <v>0</v>
      </c>
      <c r="AB272" s="3">
        <v>0</v>
      </c>
      <c r="AC272" s="3">
        <v>0</v>
      </c>
      <c r="AD272" s="1">
        <v>2377</v>
      </c>
      <c r="AE272" s="1">
        <v>0</v>
      </c>
      <c r="AF272" s="1">
        <v>0</v>
      </c>
      <c r="AG272" s="1">
        <v>0</v>
      </c>
      <c r="AH272" s="1">
        <v>0</v>
      </c>
      <c r="AI272" s="1">
        <f>Table1[[#This Row],[NWS_pin]]*Table1[[#This Row],[Perc_pop_Northern_Aleppo]]</f>
        <v>0</v>
      </c>
      <c r="AJ272" s="1">
        <f>Table1[[#This Row],[NWS_pin]]*Table1[[#This Row],[Perc_pop_Afrin District]]</f>
        <v>0</v>
      </c>
      <c r="AK272" s="1">
        <f>Table1[[#This Row],[NWS_pin]]*Table1[[#This Row],[Perc_pop_Euphrates Shiled]]</f>
        <v>0</v>
      </c>
      <c r="AL272" s="1">
        <f>Table1[[#This Row],[NWS_pin]]*Table1[[#This Row],[Perc_Pop_Idleb_NSAG]]</f>
        <v>0</v>
      </c>
      <c r="AM272" s="4">
        <v>0.46868055805019998</v>
      </c>
      <c r="AN272" s="4">
        <v>0.53131944194979996</v>
      </c>
      <c r="AO272" s="4">
        <v>8.2924335378323097E-2</v>
      </c>
      <c r="AP272" s="4">
        <v>0.46304997820522198</v>
      </c>
      <c r="AQ272" s="4">
        <v>0.52703468360442995</v>
      </c>
      <c r="AR272" s="4">
        <v>0</v>
      </c>
      <c r="AS272" s="4">
        <v>0</v>
      </c>
      <c r="AT272" s="4">
        <v>9.9153381903479207E-3</v>
      </c>
      <c r="AU272" s="4">
        <v>7.3049113516172007E-2</v>
      </c>
      <c r="AV272" s="4">
        <v>7.1441778528633995E-2</v>
      </c>
      <c r="AW272" s="4">
        <v>7.4466954836204302E-2</v>
      </c>
      <c r="AX272" s="4">
        <v>8.7554135715542894E-2</v>
      </c>
      <c r="AY272" s="4">
        <v>7.0193944319711696E-2</v>
      </c>
      <c r="AZ272" s="4">
        <v>0.102867680729816</v>
      </c>
      <c r="BA272" s="4">
        <v>7.7611125497216396E-2</v>
      </c>
      <c r="BB272" s="4">
        <v>8.1175512737757596E-2</v>
      </c>
      <c r="BC272" s="4">
        <v>7.4466954836204302E-2</v>
      </c>
      <c r="BD272" s="4">
        <v>8.9864545764851603E-2</v>
      </c>
      <c r="BE272" s="4">
        <v>8.16751080779613E-2</v>
      </c>
      <c r="BF272" s="4">
        <v>9.7088505443653897E-2</v>
      </c>
      <c r="BG272" s="4">
        <v>7.3488482277605099E-2</v>
      </c>
      <c r="BH272" s="4">
        <v>6.0959805450791701E-2</v>
      </c>
      <c r="BI272" s="4">
        <v>8.4540114842137401E-2</v>
      </c>
      <c r="BJ272" s="4">
        <v>9.7204187193450503E-2</v>
      </c>
      <c r="BK272" s="4">
        <v>8.2797466381039297E-2</v>
      </c>
      <c r="BL272" s="4">
        <v>0.109912455359313</v>
      </c>
      <c r="BM272" s="4">
        <v>4.4917806640296397E-2</v>
      </c>
      <c r="BN272" s="4">
        <v>4.7482568614901098E-2</v>
      </c>
      <c r="BO272" s="4">
        <v>4.2655412346738399E-2</v>
      </c>
      <c r="BP272" s="4">
        <v>3.3834057639444901E-2</v>
      </c>
      <c r="BQ272" s="4">
        <v>4.5422751409621202E-2</v>
      </c>
      <c r="BR272" s="4">
        <v>2.3611590636642799E-2</v>
      </c>
      <c r="BS272" s="4">
        <v>3.6729303322145503E-2</v>
      </c>
      <c r="BT272" s="4">
        <v>5.5656080958948403E-2</v>
      </c>
      <c r="BU272" s="4">
        <v>2.00338617392888E-2</v>
      </c>
      <c r="BV272" s="4">
        <v>7.5505933586494905E-2</v>
      </c>
      <c r="BW272" s="4">
        <v>9.65870908730838E-2</v>
      </c>
      <c r="BX272" s="4">
        <v>5.6910098799865597E-2</v>
      </c>
      <c r="BY272" s="4">
        <v>0.113113031282451</v>
      </c>
      <c r="BZ272" s="4">
        <v>0.14263491352875299</v>
      </c>
      <c r="CA272" s="4">
        <v>8.7071574574009505E-2</v>
      </c>
      <c r="CB272" s="4">
        <v>0.105596965501133</v>
      </c>
      <c r="CC272" s="4">
        <v>0.118924347143535</v>
      </c>
      <c r="CD272" s="4">
        <v>9.3840789889364298E-2</v>
      </c>
      <c r="CE272" s="4">
        <v>5.3661269958525E-2</v>
      </c>
      <c r="CF272" s="4">
        <v>3.3692944122856498E-2</v>
      </c>
      <c r="CG272" s="4">
        <v>7.1275468418203397E-2</v>
      </c>
      <c r="CH272" s="4">
        <v>2.4564566805397401E-2</v>
      </c>
      <c r="CI272" s="4">
        <v>5.6778439262026503E-3</v>
      </c>
      <c r="CJ272" s="4">
        <v>4.1224675809270098E-2</v>
      </c>
      <c r="CK272" s="4">
        <v>1.06443802394184E-2</v>
      </c>
      <c r="CL272" s="4">
        <v>5.6778439262026503E-3</v>
      </c>
      <c r="CM272" s="4">
        <v>1.5025396304466599E-2</v>
      </c>
      <c r="CN272" s="4">
        <v>2.6610950598546E-3</v>
      </c>
      <c r="CO272" s="4">
        <v>0</v>
      </c>
      <c r="CP272" s="4">
        <v>5.0084654348222096E-3</v>
      </c>
      <c r="CQ272" s="4">
        <v>0</v>
      </c>
      <c r="CR272" s="4">
        <v>0</v>
      </c>
      <c r="CS272" s="4">
        <v>0</v>
      </c>
      <c r="CT272" s="1">
        <f>Table1[[#This Row],[Female %]]*Table1[[#This Row],[NWS_pin]]</f>
        <v>0</v>
      </c>
      <c r="CU272" s="1">
        <f>Table1[[#This Row],[Male %]]*Table1[[#This Row],[NWS_pin]]</f>
        <v>0</v>
      </c>
      <c r="CV272" s="1">
        <f>Table1[[#This Row],[Female% (0-2)22]]+Table1[[#This Row],[Male%(0-2)3]]</f>
        <v>0</v>
      </c>
      <c r="CW272" s="1">
        <f>$CT272*Table1[[#This Row],[Female% (0-2)]]</f>
        <v>0</v>
      </c>
      <c r="CX272" s="1">
        <f>$CU272*Table1[[#This Row],[Male%(0-2)]]</f>
        <v>0</v>
      </c>
      <c r="CY272" s="1">
        <f>Table1[[#This Row],[Female%  (3-5)5]]+Table1[[#This Row],[Male% (3-5)6]]</f>
        <v>0</v>
      </c>
      <c r="CZ272" s="1">
        <f>$AF272*Table1[[#This Row],[Female%  (3-5)]]</f>
        <v>0</v>
      </c>
      <c r="DA272" s="1">
        <f>$CU272*Table1[[#This Row],[Male% (3-5)]]</f>
        <v>0</v>
      </c>
      <c r="DB272" s="1">
        <f>Table1[[#This Row],[Female% (6-8)8]]+Table1[[#This Row],[Male%(6-8)9]]</f>
        <v>0</v>
      </c>
      <c r="DC272" s="1">
        <f>$CT272*Table1[[#This Row],[Female% (6-8)]]</f>
        <v>0</v>
      </c>
      <c r="DD272" s="1">
        <f>$CU272*Table1[[#This Row],[Male%(6-8)]]</f>
        <v>0</v>
      </c>
      <c r="DE272" s="1">
        <f>Table1[[#This Row],[Female% (9 - 11)11]]+Table1[[#This Row],[Male% (9 - 11)12]]</f>
        <v>0</v>
      </c>
      <c r="DF272" s="1">
        <f>$CT272*Table1[[#This Row],[Female% (9 - 11)]]</f>
        <v>0</v>
      </c>
      <c r="DG272" s="1">
        <f>$CU272*Table1[[#This Row],[Male% (9 - 11)]]</f>
        <v>0</v>
      </c>
      <c r="DH272" s="1">
        <f>Table1[[#This Row],[Female% (12-14)14]]+Table1[[#This Row],[Male%(12-14)15]]</f>
        <v>0</v>
      </c>
      <c r="DI272" s="1">
        <f>$CT272*Table1[[#This Row],[Female% (12-14)]]</f>
        <v>0</v>
      </c>
      <c r="DJ272" s="1">
        <f>$CU272*Table1[[#This Row],[Male%(12-14)]]</f>
        <v>0</v>
      </c>
      <c r="DK272" s="1">
        <f>Table1[[#This Row],[Female% (15-17)17]]+Table1[[#This Row],[Male%(15-17)18]]</f>
        <v>0</v>
      </c>
      <c r="DL272" s="1">
        <f>$CT272*Table1[[#This Row],[Female% (15-17)]]</f>
        <v>0</v>
      </c>
      <c r="DM272" s="1">
        <f>$CU272*Table1[[#This Row],[Male%(15-17)]]</f>
        <v>0</v>
      </c>
      <c r="DN272" s="1">
        <f>$AF272*Table1[[#This Row],[Total% (18-19)]]</f>
        <v>0</v>
      </c>
      <c r="DO272" s="1">
        <f>$CT272*Table1[[#This Row],[Female% (18-19)]]</f>
        <v>0</v>
      </c>
      <c r="DP272" s="1">
        <f>$CU272*Table1[[#This Row],[Male%(18-19)]]</f>
        <v>0</v>
      </c>
      <c r="DQ272" s="1">
        <f>$AF272*Table1[[#This Row],[Total% (20-24)]]</f>
        <v>0</v>
      </c>
      <c r="DR272" s="1">
        <f>$CT272*Table1[[#This Row],[Female% (20-24)]]</f>
        <v>0</v>
      </c>
      <c r="DS272" s="1">
        <f>$CU272*Table1[[#This Row],[Male% (20-24)]]</f>
        <v>0</v>
      </c>
      <c r="DT272" s="1">
        <f>$AF272*Table1[[#This Row],[Total% (25-29)]]</f>
        <v>0</v>
      </c>
      <c r="DU272" s="1">
        <f>$CT272*Table1[[#This Row],[Female% (25-29)]]</f>
        <v>0</v>
      </c>
      <c r="DV272" s="1">
        <f>$CU272*Table1[[#This Row],[Male% (25-29)]]</f>
        <v>0</v>
      </c>
      <c r="DW272" s="1">
        <f>$AF272*Table1[[#This Row],[Total%   (30-34)]]</f>
        <v>0</v>
      </c>
      <c r="DX272" s="1">
        <f>$CT272*Table1[[#This Row],[Female%   (30-34)]]</f>
        <v>0</v>
      </c>
      <c r="DY272" s="1">
        <f>$CU272*Table1[[#This Row],[Male%  (30-34)]]</f>
        <v>0</v>
      </c>
      <c r="DZ272" s="1">
        <f>$AF272*Table1[[#This Row],[Total% (35-39)]]</f>
        <v>0</v>
      </c>
      <c r="EA272" s="1">
        <f>$CT272*Table1[[#This Row],[Female% (35-39)]]</f>
        <v>0</v>
      </c>
      <c r="EB272" s="1">
        <f>$CU272*Table1[[#This Row],[Male% (35-39)]]</f>
        <v>0</v>
      </c>
      <c r="EC272" s="1">
        <f>$AF272*Table1[[#This Row],[Total% (40-44)]]</f>
        <v>0</v>
      </c>
      <c r="ED272" s="1">
        <f>$CT272*Table1[[#This Row],[Female% (40-44)]]</f>
        <v>0</v>
      </c>
      <c r="EE272" s="1">
        <f>$CU272*Table1[[#This Row],[Male%(55-59)]]</f>
        <v>0</v>
      </c>
      <c r="EF272" s="1">
        <f>$AF272*Table1[[#This Row],[Total% (45-49)]]</f>
        <v>0</v>
      </c>
      <c r="EG272" s="1">
        <f>$CT272*Table1[[#This Row],[Female% (45-49)]]</f>
        <v>0</v>
      </c>
      <c r="EH272" s="1">
        <f>$CU272*Table1[[#This Row],[Male% (45-49)]]</f>
        <v>0</v>
      </c>
      <c r="EI272" s="1">
        <f>$AF272*Table1[[#This Row],[Total% (50-54)]]</f>
        <v>0</v>
      </c>
      <c r="EJ272" s="1">
        <f>$CT272*Table1[[#This Row],[Female%(50-54)]]</f>
        <v>0</v>
      </c>
      <c r="EK272" s="1">
        <f>$CU272*Table1[[#This Row],[Male% (50-54)]]</f>
        <v>0</v>
      </c>
      <c r="EL272" s="1">
        <f>$AF272*Table1[[#This Row],[Total% (55-59)]]</f>
        <v>0</v>
      </c>
      <c r="EM272" s="1">
        <f>$CT272*Table1[[#This Row],[Female% (55-59)]]</f>
        <v>0</v>
      </c>
      <c r="EN272" s="1">
        <f>$CU272*Table1[[#This Row],[Male% (55-59)]]</f>
        <v>0</v>
      </c>
      <c r="EO272" s="1">
        <f>$AF272*Table1[[#This Row],[Total% (60-64)]]</f>
        <v>0</v>
      </c>
      <c r="EP272" s="1">
        <f>$CT272*Table1[[#This Row],[Female%(60-64)]]</f>
        <v>0</v>
      </c>
      <c r="EQ272" s="1">
        <f>$CU272*Table1[[#This Row],[Male%(60-64)]]</f>
        <v>0</v>
      </c>
      <c r="ER272" s="1">
        <f>$AF272*Table1[[#This Row],[Total% (&gt;=65)]]</f>
        <v>0</v>
      </c>
      <c r="ES272" s="1">
        <f>$CT272*Table1[[#This Row],[Female%(&gt;=65)]]</f>
        <v>0</v>
      </c>
      <c r="ET272" s="1">
        <f>$CU272*Table1[[#This Row],[Male% (&gt;=65)]]</f>
        <v>0</v>
      </c>
    </row>
  </sheetData>
  <phoneticPr fontId="2" type="noConversion"/>
  <pageMargins left="0.7" right="0.7" top="0.75" bottom="0.75" header="0.3" footer="0.3"/>
  <pageSetup orientation="portrait" r:id="rId1"/>
  <ignoredErrors>
    <ignoredError sqref="CZ3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0116-AE46-489D-A73A-27C2A7FC9A62}">
  <dimension ref="C3:N54"/>
  <sheetViews>
    <sheetView workbookViewId="0">
      <selection activeCell="M1" sqref="M1:N1048576"/>
    </sheetView>
  </sheetViews>
  <sheetFormatPr defaultRowHeight="14.5" x14ac:dyDescent="0.35"/>
  <cols>
    <col min="3" max="3" width="9.1796875" style="1"/>
    <col min="4" max="4" width="11.54296875" style="1" bestFit="1" customWidth="1"/>
    <col min="5" max="5" width="20.26953125" style="1" customWidth="1"/>
    <col min="6" max="6" width="9.1796875" style="1"/>
    <col min="7" max="7" width="11.54296875" style="1" bestFit="1" customWidth="1"/>
    <col min="11" max="11" width="10.54296875" bestFit="1" customWidth="1"/>
    <col min="12" max="12" width="13.26953125" bestFit="1" customWidth="1"/>
  </cols>
  <sheetData>
    <row r="3" spans="4:14" x14ac:dyDescent="0.35">
      <c r="D3" s="1">
        <f>SUM(Table1[Female% (0-2)22])</f>
        <v>155951.45793077405</v>
      </c>
      <c r="E3" s="17" t="s">
        <v>1058</v>
      </c>
      <c r="G3" s="1">
        <f>SUM(Table1[Male%(0-2)3])</f>
        <v>152308.08465151271</v>
      </c>
      <c r="H3" s="15" t="s">
        <v>1059</v>
      </c>
    </row>
    <row r="4" spans="4:14" x14ac:dyDescent="0.35">
      <c r="D4" s="1">
        <f>SUM(Table1[Female%  (3-5)5])</f>
        <v>451189.63186965266</v>
      </c>
      <c r="E4" s="17" t="s">
        <v>1061</v>
      </c>
      <c r="G4" s="1">
        <f>SUM(Table1[Male% (3-5)6])</f>
        <v>265466.00843349827</v>
      </c>
      <c r="H4" s="15" t="s">
        <v>1062</v>
      </c>
      <c r="M4" s="16"/>
      <c r="N4" s="15"/>
    </row>
    <row r="5" spans="4:14" x14ac:dyDescent="0.35">
      <c r="D5" s="1">
        <f>SUM(Table1[Female% (6-8)8])</f>
        <v>180262.76237938268</v>
      </c>
      <c r="E5" s="17" t="s">
        <v>1064</v>
      </c>
      <c r="G5" s="1">
        <f>SUM(Table1[Male%(6-8)9])</f>
        <v>226498.64267954376</v>
      </c>
      <c r="H5" s="15" t="s">
        <v>1065</v>
      </c>
      <c r="M5" s="16"/>
      <c r="N5" s="15"/>
    </row>
    <row r="6" spans="4:14" x14ac:dyDescent="0.35">
      <c r="D6" s="1">
        <f>SUM(Table1[Female% (9 - 11)11])</f>
        <v>143579.58860783011</v>
      </c>
      <c r="E6" s="17" t="s">
        <v>1067</v>
      </c>
      <c r="G6" s="1">
        <f>SUM(Table1[Male% (9 - 11)12])</f>
        <v>171543.66596414181</v>
      </c>
      <c r="H6" s="15" t="s">
        <v>1068</v>
      </c>
      <c r="M6" s="16"/>
      <c r="N6" s="15"/>
    </row>
    <row r="7" spans="4:14" x14ac:dyDescent="0.35">
      <c r="D7" s="1">
        <f>SUM(Table1[Female% (12-14)14])</f>
        <v>111326.12933713329</v>
      </c>
      <c r="E7" s="17" t="s">
        <v>1070</v>
      </c>
      <c r="G7" s="1">
        <f>SUM(Table1[Male%(12-14)15])</f>
        <v>142223.69719959953</v>
      </c>
      <c r="H7" s="15" t="s">
        <v>1071</v>
      </c>
      <c r="M7" s="16"/>
      <c r="N7" s="15"/>
    </row>
    <row r="8" spans="4:14" x14ac:dyDescent="0.35">
      <c r="D8" s="1">
        <f>SUM(Table1[Female% (15-17)17])</f>
        <v>99765.232110377474</v>
      </c>
      <c r="E8" s="17" t="s">
        <v>1073</v>
      </c>
      <c r="G8" s="1">
        <f>SUM(Table1[Male%(15-17)18])</f>
        <v>110553.2985784129</v>
      </c>
      <c r="H8" s="15" t="s">
        <v>1074</v>
      </c>
      <c r="M8" s="16"/>
      <c r="N8" s="15"/>
    </row>
    <row r="9" spans="4:14" x14ac:dyDescent="0.35">
      <c r="D9" s="1">
        <f>SUM(Table1[Female% (18-19)20])</f>
        <v>43419.022399957408</v>
      </c>
      <c r="E9" s="17" t="s">
        <v>1076</v>
      </c>
      <c r="G9" s="1">
        <f>SUM(Table1[Male%(18-19)21])</f>
        <v>37300.763346132764</v>
      </c>
      <c r="H9" s="15" t="s">
        <v>1077</v>
      </c>
      <c r="M9" s="16"/>
      <c r="N9" s="15"/>
    </row>
    <row r="10" spans="4:14" x14ac:dyDescent="0.35">
      <c r="D10" s="1">
        <f>SUM(D3:D9)/2</f>
        <v>592746.91231755377</v>
      </c>
      <c r="E10" s="1">
        <f t="shared" ref="E10:G10" si="0">SUM(E3:E9)/2</f>
        <v>0</v>
      </c>
      <c r="F10" s="1">
        <f t="shared" si="0"/>
        <v>0</v>
      </c>
      <c r="G10" s="1">
        <f t="shared" si="0"/>
        <v>552947.0804264209</v>
      </c>
      <c r="M10" s="16"/>
      <c r="N10" s="15"/>
    </row>
    <row r="11" spans="4:14" x14ac:dyDescent="0.35">
      <c r="D11" s="3">
        <f>D10/K19</f>
        <v>0.2771246805691418</v>
      </c>
      <c r="G11" s="3">
        <f>G10/K19</f>
        <v>0.25851721847977899</v>
      </c>
      <c r="M11" s="16"/>
      <c r="N11" s="15"/>
    </row>
    <row r="12" spans="4:14" x14ac:dyDescent="0.35">
      <c r="M12" s="16"/>
      <c r="N12" s="15"/>
    </row>
    <row r="13" spans="4:14" x14ac:dyDescent="0.35">
      <c r="M13" s="16"/>
      <c r="N13" s="15"/>
    </row>
    <row r="14" spans="4:14" x14ac:dyDescent="0.35">
      <c r="M14" s="16"/>
      <c r="N14" s="15"/>
    </row>
    <row r="15" spans="4:14" x14ac:dyDescent="0.35">
      <c r="D15" s="1">
        <f>SUM(Table1[Female% (20-24)23])</f>
        <v>159228.45337647377</v>
      </c>
      <c r="E15" s="17" t="s">
        <v>1079</v>
      </c>
      <c r="G15" s="1">
        <f>SUM(Table1[Male% (20-24)24])</f>
        <v>101955.50441504781</v>
      </c>
      <c r="H15" s="15" t="s">
        <v>1080</v>
      </c>
      <c r="M15" s="16"/>
      <c r="N15" s="15"/>
    </row>
    <row r="16" spans="4:14" x14ac:dyDescent="0.35">
      <c r="D16" s="1">
        <f>SUM(Table1[Female% (25-29)26])</f>
        <v>227558.85501049607</v>
      </c>
      <c r="E16" s="17" t="s">
        <v>1082</v>
      </c>
      <c r="G16" s="1">
        <f>SUM(Table1[Male% (25-29)27])</f>
        <v>172418.75929736509</v>
      </c>
      <c r="H16" s="15" t="s">
        <v>1083</v>
      </c>
      <c r="M16" s="16"/>
      <c r="N16" s="15"/>
    </row>
    <row r="17" spans="4:14" x14ac:dyDescent="0.35">
      <c r="D17" s="1">
        <f>SUM(Table1[Female%   (30-34)29])</f>
        <v>176611.94511532737</v>
      </c>
      <c r="E17" s="17" t="s">
        <v>1085</v>
      </c>
      <c r="G17" s="1">
        <f>SUM(Table1[Male%  (30-34)30])</f>
        <v>161410.51550943821</v>
      </c>
      <c r="H17" s="15" t="s">
        <v>1086</v>
      </c>
      <c r="M17" s="16"/>
      <c r="N17" s="15"/>
    </row>
    <row r="18" spans="4:14" x14ac:dyDescent="0.35">
      <c r="D18" s="1">
        <f>SUM(Table1[Female% (35-39)32])</f>
        <v>119194.14187473604</v>
      </c>
      <c r="E18" s="17" t="s">
        <v>1088</v>
      </c>
      <c r="G18" s="1">
        <f>SUM(Table1[Male% (35-39)33])</f>
        <v>141910.99571937285</v>
      </c>
      <c r="H18" s="15" t="s">
        <v>1089</v>
      </c>
      <c r="M18" s="16"/>
      <c r="N18" s="15"/>
    </row>
    <row r="19" spans="4:14" x14ac:dyDescent="0.35">
      <c r="D19" s="1">
        <f>SUM(Table1[Female% (40-44)35])</f>
        <v>90596.120148076472</v>
      </c>
      <c r="E19" s="17" t="s">
        <v>1091</v>
      </c>
      <c r="G19" s="1">
        <f>SUM(Table1[Male%(55-59)36])</f>
        <v>95075.355573815134</v>
      </c>
      <c r="H19" s="15" t="s">
        <v>1092</v>
      </c>
      <c r="K19" s="16">
        <f>SUM(D10+G10+D25+G25)</f>
        <v>2138917.8008259903</v>
      </c>
      <c r="M19" s="16"/>
      <c r="N19" s="15"/>
    </row>
    <row r="20" spans="4:14" x14ac:dyDescent="0.35">
      <c r="D20" s="1">
        <f>SUM(Table1[Female% (45-49)38])</f>
        <v>83695.816317240737</v>
      </c>
      <c r="E20" s="17" t="s">
        <v>1094</v>
      </c>
      <c r="G20" s="1">
        <f>SUM(Table1[Male% (45-49)39])</f>
        <v>77326.102545827554</v>
      </c>
      <c r="H20" s="15" t="s">
        <v>1095</v>
      </c>
      <c r="M20" s="16"/>
      <c r="N20" s="15"/>
    </row>
    <row r="21" spans="4:14" x14ac:dyDescent="0.35">
      <c r="D21" s="1">
        <f>SUM(Table1[Female%(50-54)41])</f>
        <v>65571.813858227528</v>
      </c>
      <c r="E21" s="17" t="s">
        <v>1097</v>
      </c>
      <c r="G21" s="1">
        <f>SUM(Table1[Male% (50-54)42])</f>
        <v>59446.691987636026</v>
      </c>
      <c r="H21" s="15" t="s">
        <v>1098</v>
      </c>
      <c r="M21" s="16"/>
      <c r="N21" s="15"/>
    </row>
    <row r="22" spans="4:14" x14ac:dyDescent="0.35">
      <c r="D22" s="1">
        <f>SUM(Table1[Female% (55-59)44])</f>
        <v>39681.227552666729</v>
      </c>
      <c r="E22" s="17" t="s">
        <v>1100</v>
      </c>
      <c r="G22" s="1">
        <f>SUM(Table1[Male% (55-59)45])</f>
        <v>59049.038162600467</v>
      </c>
      <c r="H22" s="15" t="s">
        <v>1101</v>
      </c>
      <c r="L22" s="18"/>
      <c r="M22" s="16"/>
      <c r="N22" s="15"/>
    </row>
    <row r="23" spans="4:14" x14ac:dyDescent="0.35">
      <c r="D23" s="1">
        <f>SUM(Table1[Female%(60-64)47])</f>
        <v>40104.072144482008</v>
      </c>
      <c r="E23" s="17" t="s">
        <v>1103</v>
      </c>
      <c r="G23" s="1">
        <f>SUM(Table1[Male%(60-64)48])</f>
        <v>22571.36249460002</v>
      </c>
      <c r="H23" s="15" t="s">
        <v>1104</v>
      </c>
      <c r="M23" s="16"/>
      <c r="N23" s="15"/>
    </row>
    <row r="24" spans="4:14" x14ac:dyDescent="0.35">
      <c r="D24" s="1">
        <f>SUM(Table1[Female%(&gt;=65)50])</f>
        <v>39047.714170940271</v>
      </c>
      <c r="E24" s="17" t="s">
        <v>1106</v>
      </c>
      <c r="G24" s="1">
        <f>SUM(Table1[Male% (&gt;=65)51])</f>
        <v>53993.130889661545</v>
      </c>
      <c r="H24" s="15" t="s">
        <v>1107</v>
      </c>
      <c r="M24" s="16"/>
      <c r="N24" s="15"/>
    </row>
    <row r="25" spans="4:14" x14ac:dyDescent="0.35">
      <c r="D25" s="1">
        <f>SUM(D15:D24)/2</f>
        <v>520645.07978433347</v>
      </c>
      <c r="E25" s="1">
        <f t="shared" ref="E25:H25" si="1">SUM(E15:E24)/2</f>
        <v>0</v>
      </c>
      <c r="F25" s="1">
        <f t="shared" si="1"/>
        <v>0</v>
      </c>
      <c r="G25" s="1">
        <f t="shared" si="1"/>
        <v>472578.72829768236</v>
      </c>
      <c r="H25" s="1">
        <f t="shared" si="1"/>
        <v>0</v>
      </c>
      <c r="M25" s="16"/>
      <c r="N25" s="15"/>
    </row>
    <row r="26" spans="4:14" x14ac:dyDescent="0.35">
      <c r="D26" s="3">
        <f>D25/K19</f>
        <v>0.24341518855155392</v>
      </c>
      <c r="E26" s="3"/>
      <c r="F26" s="3"/>
      <c r="G26" s="3">
        <f>G25/K19</f>
        <v>0.22094291239952543</v>
      </c>
      <c r="M26" s="16"/>
      <c r="N26" s="15"/>
    </row>
    <row r="27" spans="4:14" x14ac:dyDescent="0.35">
      <c r="M27" s="16"/>
      <c r="N27" s="15"/>
    </row>
    <row r="28" spans="4:14" x14ac:dyDescent="0.35">
      <c r="M28" s="16"/>
      <c r="N28" s="15"/>
    </row>
    <row r="29" spans="4:14" x14ac:dyDescent="0.35">
      <c r="M29" s="16"/>
      <c r="N29" s="15"/>
    </row>
    <row r="30" spans="4:14" x14ac:dyDescent="0.35">
      <c r="M30" s="16"/>
      <c r="N30" s="15"/>
    </row>
    <row r="31" spans="4:14" x14ac:dyDescent="0.35">
      <c r="M31" s="16"/>
      <c r="N31" s="15"/>
    </row>
    <row r="32" spans="4:14" x14ac:dyDescent="0.35">
      <c r="E32" s="17"/>
      <c r="M32" s="16"/>
      <c r="N32" s="15"/>
    </row>
    <row r="33" spans="13:14" x14ac:dyDescent="0.35">
      <c r="M33" s="16"/>
      <c r="N33" s="15"/>
    </row>
    <row r="34" spans="13:14" x14ac:dyDescent="0.35">
      <c r="M34" s="16"/>
      <c r="N34" s="15"/>
    </row>
    <row r="35" spans="13:14" x14ac:dyDescent="0.35">
      <c r="M35" s="16"/>
      <c r="N35" s="15"/>
    </row>
    <row r="36" spans="13:14" x14ac:dyDescent="0.35">
      <c r="M36" s="16"/>
      <c r="N36" s="15"/>
    </row>
    <row r="37" spans="13:14" x14ac:dyDescent="0.35">
      <c r="M37" s="16"/>
      <c r="N37" s="15"/>
    </row>
    <row r="38" spans="13:14" x14ac:dyDescent="0.35">
      <c r="M38" s="16"/>
      <c r="N38" s="15"/>
    </row>
    <row r="39" spans="13:14" x14ac:dyDescent="0.35">
      <c r="M39" s="16"/>
      <c r="N39" s="15"/>
    </row>
    <row r="40" spans="13:14" x14ac:dyDescent="0.35">
      <c r="M40" s="16"/>
      <c r="N40" s="15"/>
    </row>
    <row r="41" spans="13:14" x14ac:dyDescent="0.35">
      <c r="M41" s="16"/>
      <c r="N41" s="15"/>
    </row>
    <row r="42" spans="13:14" x14ac:dyDescent="0.35">
      <c r="M42" s="16"/>
      <c r="N42" s="15"/>
    </row>
    <row r="43" spans="13:14" x14ac:dyDescent="0.35">
      <c r="M43" s="16"/>
      <c r="N43" s="15"/>
    </row>
    <row r="44" spans="13:14" x14ac:dyDescent="0.35">
      <c r="M44" s="16"/>
      <c r="N44" s="15"/>
    </row>
    <row r="45" spans="13:14" x14ac:dyDescent="0.35">
      <c r="M45" s="16"/>
      <c r="N45" s="15"/>
    </row>
    <row r="46" spans="13:14" x14ac:dyDescent="0.35">
      <c r="M46" s="16"/>
      <c r="N46" s="15"/>
    </row>
    <row r="47" spans="13:14" x14ac:dyDescent="0.35">
      <c r="M47" s="16"/>
      <c r="N47" s="15"/>
    </row>
    <row r="48" spans="13:14" x14ac:dyDescent="0.35">
      <c r="M48" s="16"/>
      <c r="N48" s="15"/>
    </row>
    <row r="49" spans="13:14" x14ac:dyDescent="0.35">
      <c r="M49" s="16"/>
      <c r="N49" s="15"/>
    </row>
    <row r="50" spans="13:14" x14ac:dyDescent="0.35">
      <c r="M50" s="16"/>
      <c r="N50" s="15"/>
    </row>
    <row r="51" spans="13:14" x14ac:dyDescent="0.35">
      <c r="M51" s="16"/>
      <c r="N51" s="15"/>
    </row>
    <row r="52" spans="13:14" x14ac:dyDescent="0.35">
      <c r="M52" s="16"/>
      <c r="N52" s="15"/>
    </row>
    <row r="53" spans="13:14" x14ac:dyDescent="0.35">
      <c r="M53" s="16"/>
      <c r="N53" s="15"/>
    </row>
    <row r="54" spans="13:14" x14ac:dyDescent="0.35">
      <c r="M54" s="16"/>
      <c r="N5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B754F-20C9-4037-AE87-7EA06981924B}">
  <dimension ref="A1:BL274"/>
  <sheetViews>
    <sheetView showGridLines="0" zoomScale="80" zoomScaleNormal="80" workbookViewId="0">
      <selection activeCell="V9" sqref="V9"/>
    </sheetView>
  </sheetViews>
  <sheetFormatPr defaultRowHeight="14.5" x14ac:dyDescent="0.35"/>
  <cols>
    <col min="1" max="1" width="19.453125" bestFit="1" customWidth="1"/>
    <col min="2" max="2" width="19.1796875" bestFit="1" customWidth="1"/>
    <col min="3" max="3" width="15.81640625" bestFit="1" customWidth="1"/>
    <col min="4" max="4" width="27.26953125" bestFit="1" customWidth="1"/>
    <col min="5" max="5" width="19.1796875" bestFit="1" customWidth="1"/>
    <col min="6" max="6" width="15.81640625" bestFit="1" customWidth="1"/>
    <col min="7" max="7" width="26.7265625" bestFit="1" customWidth="1"/>
    <col min="8" max="8" width="14.26953125" bestFit="1" customWidth="1"/>
    <col min="9" max="9" width="13.26953125" bestFit="1" customWidth="1"/>
    <col min="10" max="11" width="12.26953125" bestFit="1" customWidth="1"/>
    <col min="12" max="12" width="16.1796875" bestFit="1" customWidth="1"/>
    <col min="13" max="13" width="16.81640625" bestFit="1" customWidth="1"/>
    <col min="14" max="14" width="14.54296875" bestFit="1" customWidth="1"/>
    <col min="15" max="15" width="14" bestFit="1" customWidth="1"/>
    <col min="16" max="16" width="20.1796875" bestFit="1" customWidth="1"/>
    <col min="17" max="17" width="17.453125" style="1" bestFit="1" customWidth="1"/>
    <col min="18" max="18" width="13.81640625" style="1" bestFit="1" customWidth="1"/>
    <col min="19" max="19" width="20.7265625" style="1" bestFit="1" customWidth="1"/>
    <col min="20" max="20" width="22.54296875" style="1" bestFit="1" customWidth="1"/>
    <col min="21" max="21" width="21.7265625" style="1" bestFit="1" customWidth="1"/>
    <col min="22" max="51" width="21.7265625" style="1" customWidth="1"/>
    <col min="52" max="52" width="19" bestFit="1" customWidth="1"/>
    <col min="53" max="53" width="21.453125" bestFit="1" customWidth="1"/>
    <col min="54" max="54" width="20.7265625" bestFit="1" customWidth="1"/>
    <col min="55" max="55" width="15.7265625" bestFit="1" customWidth="1"/>
    <col min="56" max="56" width="15.81640625" bestFit="1" customWidth="1"/>
    <col min="57" max="57" width="18.7265625" bestFit="1" customWidth="1"/>
    <col min="58" max="58" width="21.81640625" bestFit="1" customWidth="1"/>
    <col min="59" max="59" width="25.1796875" bestFit="1" customWidth="1"/>
    <col min="60" max="60" width="27.1796875" bestFit="1" customWidth="1"/>
    <col min="61" max="61" width="26.1796875" bestFit="1" customWidth="1"/>
    <col min="62" max="62" width="16.81640625" bestFit="1" customWidth="1"/>
    <col min="63" max="63" width="17.81640625" bestFit="1" customWidth="1"/>
    <col min="64" max="64" width="18.54296875" bestFit="1" customWidth="1"/>
  </cols>
  <sheetData>
    <row r="1" spans="1:64" x14ac:dyDescent="0.35">
      <c r="X1" s="1">
        <f>SUM(Table2[NW_Health_PIN])</f>
        <v>3624409.3400000003</v>
      </c>
      <c r="Y1" s="1">
        <f>SUM(Table2[NW_CCCM_PIN])</f>
        <v>1733995.73</v>
      </c>
      <c r="Z1" s="1">
        <f>SUM(Table2[NW_ERL_PIN])</f>
        <v>2451620.81</v>
      </c>
      <c r="AA1" s="1">
        <f>SUM(Table2[NW_NFI_PIN])</f>
        <v>1279785.57</v>
      </c>
      <c r="AB1" s="1">
        <f>SUM(Table2[NW_Nutrition_PIN])</f>
        <v>1370354.603391428</v>
      </c>
      <c r="AC1" s="1">
        <f>SUM(Table2[NW_Education_PIN])</f>
        <v>1616335.286942991</v>
      </c>
      <c r="AD1" s="1">
        <f>SUM(Table2[NW_Shelter_PIN])</f>
        <v>1815690.7</v>
      </c>
      <c r="AE1" s="1">
        <f>SUM(Table2[NW_WASH_PIN])</f>
        <v>4045939.4355010372</v>
      </c>
      <c r="AF1" s="1">
        <f>SUM(Table2[NW_WASH_acute_PIN])</f>
        <v>2345679.29</v>
      </c>
      <c r="AG1" s="1">
        <f>SUM(Table2[NW_Protection_PIN])</f>
        <v>3779671</v>
      </c>
      <c r="AH1" s="1">
        <f>SUM(Table2[NW_Food_PIN])</f>
        <v>3326330.6507328921</v>
      </c>
      <c r="AI1" s="1">
        <f>SUM(Table2[NW_Protection_CP_PIN])</f>
        <v>1676594.8090000001</v>
      </c>
      <c r="AJ1" s="1">
        <f>SUM(Table2[NW_Protection_GBV_PIN])</f>
        <v>1917457.8</v>
      </c>
      <c r="AK1" s="1">
        <f>SUM(Table2[NW_Protection_MA_PIN])</f>
        <v>2993743.8300000005</v>
      </c>
      <c r="AL1" s="1">
        <f>SUM(Table2[Health_PIN2])</f>
        <v>84101.392500000002</v>
      </c>
      <c r="AM1" s="1">
        <f>SUM(Table2[CCCM_PIN3])</f>
        <v>68.5</v>
      </c>
      <c r="AN1" s="1">
        <f>SUM(Table2[ERL_PIN4])</f>
        <v>65389.729999999996</v>
      </c>
      <c r="AO1" s="1">
        <f>SUM(Table2[NFI_PIN5])</f>
        <v>13647.25</v>
      </c>
      <c r="AP1" s="1">
        <f>SUM(Table2[Nutrition_PIN6])</f>
        <v>28707.603130124709</v>
      </c>
      <c r="AQ1" s="1">
        <f>SUM(Table2[Education_PIN7])</f>
        <v>41886.557330656055</v>
      </c>
      <c r="AR1" s="1">
        <f>SUM(Table2[Shelter_PIN8])</f>
        <v>27894.559999999998</v>
      </c>
      <c r="AS1" s="1">
        <f>SUM(Table2[WASH_PIN9])</f>
        <v>90726.986591025081</v>
      </c>
      <c r="AT1" s="1">
        <f>SUM(Table2[WASH_acute_PIN10])</f>
        <v>51670.080000000002</v>
      </c>
      <c r="AU1" s="1">
        <f>SUM(Table2[Protection_PIN11])</f>
        <v>71157.89</v>
      </c>
      <c r="AV1" s="1">
        <f>SUM(Table2[Food_PIN12])</f>
        <v>80063.227708212828</v>
      </c>
      <c r="AW1" s="1">
        <f>SUM(Table2[Protection_CP_PIN13])</f>
        <v>34342.536</v>
      </c>
      <c r="AX1" s="1">
        <f>SUM(Table2[Protection_GBV_PIN14])</f>
        <v>38835.51</v>
      </c>
      <c r="AY1" s="1">
        <f>SUM(Table2[Protection_MA_PIN15])</f>
        <v>62285.91</v>
      </c>
    </row>
    <row r="2" spans="1:64" ht="30" customHeight="1" x14ac:dyDescent="0.35">
      <c r="A2" s="5" t="s">
        <v>0</v>
      </c>
      <c r="B2" s="5" t="s">
        <v>635</v>
      </c>
      <c r="C2" s="5" t="s">
        <v>1</v>
      </c>
      <c r="D2" s="5" t="s">
        <v>4</v>
      </c>
      <c r="E2" s="5" t="s">
        <v>636</v>
      </c>
      <c r="F2" s="5" t="s">
        <v>5</v>
      </c>
      <c r="G2" s="5" t="s">
        <v>637</v>
      </c>
      <c r="H2" s="5" t="s">
        <v>638</v>
      </c>
      <c r="I2" s="5" t="s">
        <v>639</v>
      </c>
      <c r="J2" s="5" t="s">
        <v>640</v>
      </c>
      <c r="K2" s="5" t="s">
        <v>641</v>
      </c>
      <c r="L2" s="5" t="s">
        <v>642</v>
      </c>
      <c r="M2" s="5" t="s">
        <v>643</v>
      </c>
      <c r="N2" s="5" t="s">
        <v>644</v>
      </c>
      <c r="O2" s="5" t="s">
        <v>645</v>
      </c>
      <c r="P2" s="5" t="s">
        <v>646</v>
      </c>
      <c r="Q2" s="14" t="s">
        <v>647</v>
      </c>
      <c r="R2" s="14" t="s">
        <v>1043</v>
      </c>
      <c r="S2" s="14" t="s">
        <v>648</v>
      </c>
      <c r="T2" s="14" t="s">
        <v>649</v>
      </c>
      <c r="U2" s="14" t="s">
        <v>650</v>
      </c>
      <c r="V2" s="19" t="s">
        <v>1108</v>
      </c>
      <c r="W2" s="19" t="s">
        <v>1109</v>
      </c>
      <c r="X2" s="20" t="s">
        <v>1124</v>
      </c>
      <c r="Y2" s="20" t="s">
        <v>1125</v>
      </c>
      <c r="Z2" s="20" t="s">
        <v>1126</v>
      </c>
      <c r="AA2" s="20" t="s">
        <v>1127</v>
      </c>
      <c r="AB2" s="20" t="s">
        <v>1128</v>
      </c>
      <c r="AC2" s="20" t="s">
        <v>1129</v>
      </c>
      <c r="AD2" s="20" t="s">
        <v>1130</v>
      </c>
      <c r="AE2" s="20" t="s">
        <v>1131</v>
      </c>
      <c r="AF2" s="20" t="s">
        <v>1132</v>
      </c>
      <c r="AG2" s="20" t="s">
        <v>1133</v>
      </c>
      <c r="AH2" s="20" t="s">
        <v>1134</v>
      </c>
      <c r="AI2" s="20" t="s">
        <v>1135</v>
      </c>
      <c r="AJ2" s="20" t="s">
        <v>1136</v>
      </c>
      <c r="AK2" s="21" t="s">
        <v>1137</v>
      </c>
      <c r="AL2" s="23" t="s">
        <v>1110</v>
      </c>
      <c r="AM2" s="23" t="s">
        <v>1111</v>
      </c>
      <c r="AN2" s="23" t="s">
        <v>1112</v>
      </c>
      <c r="AO2" s="23" t="s">
        <v>1113</v>
      </c>
      <c r="AP2" s="23" t="s">
        <v>1114</v>
      </c>
      <c r="AQ2" s="23" t="s">
        <v>1115</v>
      </c>
      <c r="AR2" s="23" t="s">
        <v>1116</v>
      </c>
      <c r="AS2" s="23" t="s">
        <v>1117</v>
      </c>
      <c r="AT2" s="23" t="s">
        <v>1118</v>
      </c>
      <c r="AU2" s="23" t="s">
        <v>1119</v>
      </c>
      <c r="AV2" s="23" t="s">
        <v>1120</v>
      </c>
      <c r="AW2" s="23" t="s">
        <v>1121</v>
      </c>
      <c r="AX2" s="23" t="s">
        <v>1122</v>
      </c>
      <c r="AY2" s="23" t="s">
        <v>1123</v>
      </c>
      <c r="AZ2" s="5" t="s">
        <v>651</v>
      </c>
      <c r="BA2" s="5" t="s">
        <v>652</v>
      </c>
      <c r="BB2" s="5" t="s">
        <v>653</v>
      </c>
      <c r="BC2" s="5" t="s">
        <v>654</v>
      </c>
      <c r="BD2" s="5" t="s">
        <v>655</v>
      </c>
      <c r="BE2" s="5" t="s">
        <v>656</v>
      </c>
      <c r="BF2" s="5" t="s">
        <v>657</v>
      </c>
      <c r="BG2" s="5" t="s">
        <v>658</v>
      </c>
      <c r="BH2" s="5" t="s">
        <v>659</v>
      </c>
      <c r="BI2" s="5" t="s">
        <v>660</v>
      </c>
      <c r="BJ2" s="5" t="s">
        <v>1044</v>
      </c>
      <c r="BK2" s="5" t="s">
        <v>661</v>
      </c>
      <c r="BL2" s="5" t="s">
        <v>662</v>
      </c>
    </row>
    <row r="3" spans="1:64" x14ac:dyDescent="0.35">
      <c r="A3" t="s">
        <v>17</v>
      </c>
      <c r="B3" t="s">
        <v>663</v>
      </c>
      <c r="C3" t="s">
        <v>18</v>
      </c>
      <c r="D3" t="s">
        <v>20</v>
      </c>
      <c r="E3" t="s">
        <v>664</v>
      </c>
      <c r="F3" t="s">
        <v>21</v>
      </c>
      <c r="G3" t="s">
        <v>20</v>
      </c>
      <c r="H3" s="1">
        <v>0</v>
      </c>
      <c r="I3" s="1" t="s">
        <v>665</v>
      </c>
      <c r="J3" s="1">
        <v>20927</v>
      </c>
      <c r="K3" s="1">
        <v>0</v>
      </c>
      <c r="L3" s="1">
        <v>5607.4129934201073</v>
      </c>
      <c r="M3" s="1">
        <v>1435.9424309018259</v>
      </c>
      <c r="N3" s="1">
        <v>2888</v>
      </c>
      <c r="O3" s="1">
        <v>0</v>
      </c>
      <c r="P3" s="1">
        <v>0</v>
      </c>
      <c r="Q3" s="1">
        <v>6643</v>
      </c>
      <c r="R3" s="1">
        <v>25464.066666666662</v>
      </c>
      <c r="S3" s="1">
        <v>2582.3000000000002</v>
      </c>
      <c r="T3" s="1">
        <v>3542</v>
      </c>
      <c r="U3" s="1">
        <v>1045</v>
      </c>
      <c r="V3" s="3">
        <f>_xlfn.XLOOKUP(Table2[[#This Row],[admin3Pcode]],'Inter-sector dataset'!F:F,'Inter-sector dataset'!Q:Q)</f>
        <v>0</v>
      </c>
      <c r="W3" s="3">
        <f>_xlfn.XLOOKUP(Table2[[#This Row],[admin3Pcode]],'Inter-sector dataset'!F:F,'Inter-sector dataset'!R:R)</f>
        <v>0</v>
      </c>
      <c r="X3" s="1">
        <f>IFERROR(Table2[[#This Row],[Health_PIN]]*$V3,)</f>
        <v>0</v>
      </c>
      <c r="Y3" s="1">
        <f>IFERROR(Table2[[#This Row],[CCCM_PIN]]*$V3,)</f>
        <v>0</v>
      </c>
      <c r="Z3" s="1">
        <f>IFERROR(Table2[[#This Row],[ERL_PIN]]*$V3,)</f>
        <v>0</v>
      </c>
      <c r="AA3" s="1">
        <f>IFERROR(Table2[[#This Row],[NFI_PIN]]*$V3,)</f>
        <v>0</v>
      </c>
      <c r="AB3" s="1">
        <f>IFERROR(Table2[[#This Row],[Nutrition_PIN]]*$V3,)</f>
        <v>0</v>
      </c>
      <c r="AC3" s="1">
        <f>IFERROR(Table2[[#This Row],[Education_PIN]]*$V3,)</f>
        <v>0</v>
      </c>
      <c r="AD3" s="1">
        <f>IFERROR(Table2[[#This Row],[Shelter_PIN]]*$V3,)</f>
        <v>0</v>
      </c>
      <c r="AE3" s="1">
        <f>IFERROR(Table2[[#This Row],[WASH_PIN]]*$V3,)</f>
        <v>0</v>
      </c>
      <c r="AF3" s="1">
        <f>IFERROR(Table2[[#This Row],[WASH_acute_PIN]]*$V3,)</f>
        <v>0</v>
      </c>
      <c r="AG3" s="1">
        <f>IFERROR(Table2[[#This Row],[Protection_PIN]]*$V3,)</f>
        <v>0</v>
      </c>
      <c r="AH3" s="1">
        <f>IFERROR(Table2[[#This Row],[Food_PIN]]*$V3,)</f>
        <v>0</v>
      </c>
      <c r="AI3" s="1">
        <f>IFERROR(Table2[[#This Row],[Protection_CP_PIN]]*$V3,)</f>
        <v>0</v>
      </c>
      <c r="AJ3" s="1">
        <f>IFERROR(Table2[[#This Row],[Protection_GBV_PIN]]*$V3,)</f>
        <v>0</v>
      </c>
      <c r="AK3" s="1">
        <f>IFERROR(Table2[[#This Row],[Protection_MA_PIN]]*$V3,)</f>
        <v>0</v>
      </c>
      <c r="AL3" s="1">
        <f>IFERROR(Table2[[#This Row],[Health_PIN]]*$W3,)</f>
        <v>0</v>
      </c>
      <c r="AM3" s="1">
        <f>IFERROR(Table2[[#This Row],[CCCM_PIN]]*$W3,)</f>
        <v>0</v>
      </c>
      <c r="AN3" s="1">
        <f>IFERROR(Table2[[#This Row],[ERL_PIN]]*$W3,)</f>
        <v>0</v>
      </c>
      <c r="AO3" s="1">
        <f>IFERROR(Table2[[#This Row],[NFI_PIN]]*$W3,)</f>
        <v>0</v>
      </c>
      <c r="AP3" s="1">
        <f>IFERROR(Table2[[#This Row],[Nutrition_PIN]]*$W3,)</f>
        <v>0</v>
      </c>
      <c r="AQ3" s="1">
        <f>IFERROR(Table2[[#This Row],[Education_PIN]]*$W3,)</f>
        <v>0</v>
      </c>
      <c r="AR3" s="1">
        <f>IFERROR(Table2[[#This Row],[Shelter_PIN]]*$W3,)</f>
        <v>0</v>
      </c>
      <c r="AS3" s="1">
        <f>IFERROR(Table2[[#This Row],[WASH_PIN]]*$W3,)</f>
        <v>0</v>
      </c>
      <c r="AT3" s="1">
        <f>IFERROR(Table2[[#This Row],[WASH_acute_PIN]]*$W3,)</f>
        <v>0</v>
      </c>
      <c r="AU3" s="1">
        <f>IFERROR(Table2[[#This Row],[Protection_PIN]]*$W3,)</f>
        <v>0</v>
      </c>
      <c r="AV3" s="1">
        <f>IFERROR(Table2[[#This Row],[Food_PIN]]*$W3,)</f>
        <v>0</v>
      </c>
      <c r="AW3" s="1">
        <f>IFERROR(Table2[[#This Row],[Protection_CP_PIN]]*$W3,)</f>
        <v>0</v>
      </c>
      <c r="AX3" s="1">
        <f>IFERROR(Table2[[#This Row],[Protection_GBV_PIN]]*$W3,)</f>
        <v>0</v>
      </c>
      <c r="AY3" s="1">
        <f>IFERROR(Table2[[#This Row],[Protection_MA_PIN]]*$W3,)</f>
        <v>0</v>
      </c>
      <c r="AZ3" s="1">
        <v>2</v>
      </c>
      <c r="BA3" s="1">
        <v>1</v>
      </c>
      <c r="BB3" s="1">
        <v>3</v>
      </c>
      <c r="BC3" s="1">
        <v>1</v>
      </c>
      <c r="BD3" s="1">
        <v>3</v>
      </c>
      <c r="BE3" s="1">
        <v>2</v>
      </c>
      <c r="BF3" s="1">
        <v>1</v>
      </c>
      <c r="BG3" s="1">
        <v>2</v>
      </c>
      <c r="BH3" s="1">
        <v>1</v>
      </c>
      <c r="BI3" s="1">
        <v>1</v>
      </c>
      <c r="BJ3" s="1">
        <v>3</v>
      </c>
      <c r="BK3" s="1" t="s">
        <v>665</v>
      </c>
      <c r="BL3" s="1">
        <v>2</v>
      </c>
    </row>
    <row r="4" spans="1:64" x14ac:dyDescent="0.35">
      <c r="A4" t="s">
        <v>17</v>
      </c>
      <c r="B4" t="s">
        <v>663</v>
      </c>
      <c r="C4" t="s">
        <v>18</v>
      </c>
      <c r="D4" t="s">
        <v>575</v>
      </c>
      <c r="E4" t="s">
        <v>666</v>
      </c>
      <c r="F4" t="s">
        <v>576</v>
      </c>
      <c r="G4" t="s">
        <v>575</v>
      </c>
      <c r="H4" s="1">
        <v>3530.5</v>
      </c>
      <c r="I4" s="1" t="s">
        <v>665</v>
      </c>
      <c r="J4" s="1">
        <v>4871</v>
      </c>
      <c r="K4" s="1">
        <v>182</v>
      </c>
      <c r="L4" s="1">
        <v>1621.0192897742641</v>
      </c>
      <c r="M4" s="1">
        <v>357.93183558786717</v>
      </c>
      <c r="N4" s="1">
        <v>182</v>
      </c>
      <c r="O4" s="1">
        <v>0</v>
      </c>
      <c r="P4" s="1">
        <v>0</v>
      </c>
      <c r="Q4" s="1">
        <v>1412</v>
      </c>
      <c r="R4" s="1">
        <v>523.03703703703695</v>
      </c>
      <c r="S4" s="1">
        <v>1296.4000000000001</v>
      </c>
      <c r="T4" s="1">
        <v>775</v>
      </c>
      <c r="U4" s="1" t="s">
        <v>665</v>
      </c>
      <c r="V4" s="3">
        <f>_xlfn.XLOOKUP(Table2[[#This Row],[admin3Pcode]],'Inter-sector dataset'!F:F,'Inter-sector dataset'!Q:Q)</f>
        <v>0</v>
      </c>
      <c r="W4" s="3">
        <f>_xlfn.XLOOKUP(Table2[[#This Row],[admin3Pcode]],'Inter-sector dataset'!F:F,'Inter-sector dataset'!R:R)</f>
        <v>0</v>
      </c>
      <c r="X4" s="1">
        <f>IFERROR(Table2[[#This Row],[Health_PIN]]*$V4,)</f>
        <v>0</v>
      </c>
      <c r="Y4" s="1">
        <f>IFERROR(Table2[[#This Row],[CCCM_PIN]]*$V4,)</f>
        <v>0</v>
      </c>
      <c r="Z4" s="1">
        <f>IFERROR(Table2[[#This Row],[ERL_PIN]]*$V4,)</f>
        <v>0</v>
      </c>
      <c r="AA4" s="1">
        <f>IFERROR(Table2[[#This Row],[NFI_PIN]]*$V4,)</f>
        <v>0</v>
      </c>
      <c r="AB4" s="1">
        <f>IFERROR(Table2[[#This Row],[Nutrition_PIN]]*$V4,)</f>
        <v>0</v>
      </c>
      <c r="AC4" s="1">
        <f>IFERROR(Table2[[#This Row],[Education_PIN]]*$V4,)</f>
        <v>0</v>
      </c>
      <c r="AD4" s="1">
        <f>IFERROR(Table2[[#This Row],[Shelter_PIN]]*$V4,)</f>
        <v>0</v>
      </c>
      <c r="AE4" s="1">
        <f>IFERROR(Table2[[#This Row],[WASH_PIN]]*$V4,)</f>
        <v>0</v>
      </c>
      <c r="AF4" s="1">
        <f>IFERROR(Table2[[#This Row],[WASH_acute_PIN]]*$V4,)</f>
        <v>0</v>
      </c>
      <c r="AG4" s="1">
        <f>IFERROR(Table2[[#This Row],[Protection_PIN]]*$V4,)</f>
        <v>0</v>
      </c>
      <c r="AH4" s="1">
        <f>IFERROR(Table2[[#This Row],[Food_PIN]]*$V4,)</f>
        <v>0</v>
      </c>
      <c r="AI4" s="1">
        <f>IFERROR(Table2[[#This Row],[Protection_CP_PIN]]*$V4,)</f>
        <v>0</v>
      </c>
      <c r="AJ4" s="1">
        <f>IFERROR(Table2[[#This Row],[Protection_GBV_PIN]]*$V4,)</f>
        <v>0</v>
      </c>
      <c r="AK4" s="1">
        <f>IFERROR(Table2[[#This Row],[Protection_MA_PIN]]*$V4,)</f>
        <v>0</v>
      </c>
      <c r="AL4" s="1">
        <f>IFERROR(Table2[[#This Row],[Health_PIN]]*$W4,)</f>
        <v>0</v>
      </c>
      <c r="AM4" s="1">
        <f>IFERROR(Table2[[#This Row],[CCCM_PIN]]*$W4,)</f>
        <v>0</v>
      </c>
      <c r="AN4" s="1">
        <f>IFERROR(Table2[[#This Row],[ERL_PIN]]*$W4,)</f>
        <v>0</v>
      </c>
      <c r="AO4" s="1">
        <f>IFERROR(Table2[[#This Row],[NFI_PIN]]*$W4,)</f>
        <v>0</v>
      </c>
      <c r="AP4" s="1">
        <f>IFERROR(Table2[[#This Row],[Nutrition_PIN]]*$W4,)</f>
        <v>0</v>
      </c>
      <c r="AQ4" s="1">
        <f>IFERROR(Table2[[#This Row],[Education_PIN]]*$W4,)</f>
        <v>0</v>
      </c>
      <c r="AR4" s="1">
        <f>IFERROR(Table2[[#This Row],[Shelter_PIN]]*$W4,)</f>
        <v>0</v>
      </c>
      <c r="AS4" s="1">
        <f>IFERROR(Table2[[#This Row],[WASH_PIN]]*$W4,)</f>
        <v>0</v>
      </c>
      <c r="AT4" s="1">
        <f>IFERROR(Table2[[#This Row],[WASH_acute_PIN]]*$W4,)</f>
        <v>0</v>
      </c>
      <c r="AU4" s="1">
        <f>IFERROR(Table2[[#This Row],[Protection_PIN]]*$W4,)</f>
        <v>0</v>
      </c>
      <c r="AV4" s="1">
        <f>IFERROR(Table2[[#This Row],[Food_PIN]]*$W4,)</f>
        <v>0</v>
      </c>
      <c r="AW4" s="1">
        <f>IFERROR(Table2[[#This Row],[Protection_CP_PIN]]*$W4,)</f>
        <v>0</v>
      </c>
      <c r="AX4" s="1">
        <f>IFERROR(Table2[[#This Row],[Protection_GBV_PIN]]*$W4,)</f>
        <v>0</v>
      </c>
      <c r="AY4" s="1">
        <f>IFERROR(Table2[[#This Row],[Protection_MA_PIN]]*$W4,)</f>
        <v>0</v>
      </c>
      <c r="AZ4" s="1">
        <v>2</v>
      </c>
      <c r="BA4" s="1">
        <v>1</v>
      </c>
      <c r="BB4" s="1">
        <v>4</v>
      </c>
      <c r="BC4" s="1">
        <v>2</v>
      </c>
      <c r="BD4" s="1">
        <v>3</v>
      </c>
      <c r="BE4" s="1">
        <v>3</v>
      </c>
      <c r="BF4" s="1">
        <v>1</v>
      </c>
      <c r="BG4" s="1">
        <v>3</v>
      </c>
      <c r="BH4" s="1">
        <v>1</v>
      </c>
      <c r="BI4" s="1">
        <v>1</v>
      </c>
      <c r="BJ4" s="1">
        <v>2</v>
      </c>
      <c r="BK4" s="1" t="s">
        <v>665</v>
      </c>
      <c r="BL4" s="1">
        <v>1</v>
      </c>
    </row>
    <row r="5" spans="1:64" x14ac:dyDescent="0.35">
      <c r="A5" t="s">
        <v>6</v>
      </c>
      <c r="B5" t="s">
        <v>667</v>
      </c>
      <c r="C5" t="s">
        <v>7</v>
      </c>
      <c r="D5" t="s">
        <v>547</v>
      </c>
      <c r="E5" t="s">
        <v>668</v>
      </c>
      <c r="F5" t="s">
        <v>548</v>
      </c>
      <c r="G5" t="s">
        <v>547</v>
      </c>
      <c r="H5" s="1">
        <v>0</v>
      </c>
      <c r="I5" s="1" t="s">
        <v>665</v>
      </c>
      <c r="J5" s="1">
        <v>8000</v>
      </c>
      <c r="K5" s="1">
        <v>1322</v>
      </c>
      <c r="L5" s="1">
        <v>1911.0381156441922</v>
      </c>
      <c r="M5" s="1">
        <v>727.04686744416267</v>
      </c>
      <c r="N5" s="1">
        <v>1322</v>
      </c>
      <c r="O5" s="1">
        <v>5341.9465339467297</v>
      </c>
      <c r="P5" s="1">
        <v>212</v>
      </c>
      <c r="Q5" s="1">
        <v>2908</v>
      </c>
      <c r="R5" s="1">
        <v>4038.333333333333</v>
      </c>
      <c r="S5" s="1">
        <v>1158</v>
      </c>
      <c r="T5" s="1">
        <v>1545</v>
      </c>
      <c r="U5" s="1">
        <v>915</v>
      </c>
      <c r="V5" s="3">
        <f>_xlfn.XLOOKUP(Table2[[#This Row],[admin3Pcode]],'Inter-sector dataset'!F:F,'Inter-sector dataset'!Q:Q)</f>
        <v>0</v>
      </c>
      <c r="W5" s="3">
        <f>_xlfn.XLOOKUP(Table2[[#This Row],[admin3Pcode]],'Inter-sector dataset'!F:F,'Inter-sector dataset'!R:R)</f>
        <v>0</v>
      </c>
      <c r="X5" s="1">
        <f>IFERROR(Table2[[#This Row],[Health_PIN]]*$V5,)</f>
        <v>0</v>
      </c>
      <c r="Y5" s="1">
        <f>IFERROR(Table2[[#This Row],[CCCM_PIN]]*$V5,)</f>
        <v>0</v>
      </c>
      <c r="Z5" s="1">
        <f>IFERROR(Table2[[#This Row],[ERL_PIN]]*$V5,)</f>
        <v>0</v>
      </c>
      <c r="AA5" s="1">
        <f>IFERROR(Table2[[#This Row],[NFI_PIN]]*$V5,)</f>
        <v>0</v>
      </c>
      <c r="AB5" s="1">
        <f>IFERROR(Table2[[#This Row],[Nutrition_PIN]]*$V5,)</f>
        <v>0</v>
      </c>
      <c r="AC5" s="1">
        <f>IFERROR(Table2[[#This Row],[Education_PIN]]*$V5,)</f>
        <v>0</v>
      </c>
      <c r="AD5" s="1">
        <f>IFERROR(Table2[[#This Row],[Shelter_PIN]]*$V5,)</f>
        <v>0</v>
      </c>
      <c r="AE5" s="1">
        <f>IFERROR(Table2[[#This Row],[WASH_PIN]]*$V5,)</f>
        <v>0</v>
      </c>
      <c r="AF5" s="1">
        <f>IFERROR(Table2[[#This Row],[WASH_acute_PIN]]*$V5,)</f>
        <v>0</v>
      </c>
      <c r="AG5" s="1">
        <f>IFERROR(Table2[[#This Row],[Protection_PIN]]*$V5,)</f>
        <v>0</v>
      </c>
      <c r="AH5" s="1">
        <f>IFERROR(Table2[[#This Row],[Food_PIN]]*$V5,)</f>
        <v>0</v>
      </c>
      <c r="AI5" s="1">
        <f>IFERROR(Table2[[#This Row],[Protection_CP_PIN]]*$V5,)</f>
        <v>0</v>
      </c>
      <c r="AJ5" s="1">
        <f>IFERROR(Table2[[#This Row],[Protection_GBV_PIN]]*$V5,)</f>
        <v>0</v>
      </c>
      <c r="AK5" s="1">
        <f>IFERROR(Table2[[#This Row],[Protection_MA_PIN]]*$V5,)</f>
        <v>0</v>
      </c>
      <c r="AL5" s="1">
        <f>IFERROR(Table2[[#This Row],[Health_PIN]]*$W5,)</f>
        <v>0</v>
      </c>
      <c r="AM5" s="1">
        <f>IFERROR(Table2[[#This Row],[CCCM_PIN]]*$W5,)</f>
        <v>0</v>
      </c>
      <c r="AN5" s="1">
        <f>IFERROR(Table2[[#This Row],[ERL_PIN]]*$W5,)</f>
        <v>0</v>
      </c>
      <c r="AO5" s="1">
        <f>IFERROR(Table2[[#This Row],[NFI_PIN]]*$W5,)</f>
        <v>0</v>
      </c>
      <c r="AP5" s="1">
        <f>IFERROR(Table2[[#This Row],[Nutrition_PIN]]*$W5,)</f>
        <v>0</v>
      </c>
      <c r="AQ5" s="1">
        <f>IFERROR(Table2[[#This Row],[Education_PIN]]*$W5,)</f>
        <v>0</v>
      </c>
      <c r="AR5" s="1">
        <f>IFERROR(Table2[[#This Row],[Shelter_PIN]]*$W5,)</f>
        <v>0</v>
      </c>
      <c r="AS5" s="1">
        <f>IFERROR(Table2[[#This Row],[WASH_PIN]]*$W5,)</f>
        <v>0</v>
      </c>
      <c r="AT5" s="1">
        <f>IFERROR(Table2[[#This Row],[WASH_acute_PIN]]*$W5,)</f>
        <v>0</v>
      </c>
      <c r="AU5" s="1">
        <f>IFERROR(Table2[[#This Row],[Protection_PIN]]*$W5,)</f>
        <v>0</v>
      </c>
      <c r="AV5" s="1">
        <f>IFERROR(Table2[[#This Row],[Food_PIN]]*$W5,)</f>
        <v>0</v>
      </c>
      <c r="AW5" s="1">
        <f>IFERROR(Table2[[#This Row],[Protection_CP_PIN]]*$W5,)</f>
        <v>0</v>
      </c>
      <c r="AX5" s="1">
        <f>IFERROR(Table2[[#This Row],[Protection_GBV_PIN]]*$W5,)</f>
        <v>0</v>
      </c>
      <c r="AY5" s="1">
        <f>IFERROR(Table2[[#This Row],[Protection_MA_PIN]]*$W5,)</f>
        <v>0</v>
      </c>
      <c r="AZ5" s="1">
        <v>2</v>
      </c>
      <c r="BA5" s="1">
        <v>3</v>
      </c>
      <c r="BB5" s="1">
        <v>4</v>
      </c>
      <c r="BC5" s="1">
        <v>2</v>
      </c>
      <c r="BD5" s="1">
        <v>3</v>
      </c>
      <c r="BE5" s="1">
        <v>2</v>
      </c>
      <c r="BF5" s="1">
        <v>2</v>
      </c>
      <c r="BG5" s="1">
        <v>3</v>
      </c>
      <c r="BH5" s="1">
        <v>2</v>
      </c>
      <c r="BI5" s="1">
        <v>2</v>
      </c>
      <c r="BJ5" s="1">
        <v>3</v>
      </c>
      <c r="BK5" s="1" t="s">
        <v>665</v>
      </c>
      <c r="BL5" s="1">
        <v>3</v>
      </c>
    </row>
    <row r="6" spans="1:64" x14ac:dyDescent="0.35">
      <c r="A6" t="s">
        <v>17</v>
      </c>
      <c r="B6" t="s">
        <v>663</v>
      </c>
      <c r="C6" t="s">
        <v>18</v>
      </c>
      <c r="D6" t="s">
        <v>84</v>
      </c>
      <c r="E6" t="s">
        <v>669</v>
      </c>
      <c r="F6" t="s">
        <v>85</v>
      </c>
      <c r="G6" t="s">
        <v>84</v>
      </c>
      <c r="H6" s="1">
        <v>38371.5</v>
      </c>
      <c r="I6" s="1" t="s">
        <v>665</v>
      </c>
      <c r="J6" s="1">
        <v>54167</v>
      </c>
      <c r="K6" s="1">
        <v>15349</v>
      </c>
      <c r="L6" s="1">
        <v>18878.609476541227</v>
      </c>
      <c r="M6" s="1">
        <v>8572.998890896135</v>
      </c>
      <c r="N6" s="1">
        <v>1474</v>
      </c>
      <c r="O6" s="1">
        <v>6321.1689379927957</v>
      </c>
      <c r="P6" s="1">
        <v>546</v>
      </c>
      <c r="Q6" s="1">
        <v>23023</v>
      </c>
      <c r="R6" s="1">
        <v>33139.022727272728</v>
      </c>
      <c r="S6" s="1">
        <v>13090.000000000002</v>
      </c>
      <c r="T6" s="1">
        <v>8618</v>
      </c>
      <c r="U6" s="1">
        <v>2243</v>
      </c>
      <c r="V6" s="3">
        <f>_xlfn.XLOOKUP(Table2[[#This Row],[admin3Pcode]],'Inter-sector dataset'!F:F,'Inter-sector dataset'!Q:Q)</f>
        <v>0</v>
      </c>
      <c r="W6" s="3">
        <f>_xlfn.XLOOKUP(Table2[[#This Row],[admin3Pcode]],'Inter-sector dataset'!F:F,'Inter-sector dataset'!R:R)</f>
        <v>0</v>
      </c>
      <c r="X6" s="1">
        <f>IFERROR(Table2[[#This Row],[Health_PIN]]*$V6,)</f>
        <v>0</v>
      </c>
      <c r="Y6" s="1">
        <f>IFERROR(Table2[[#This Row],[CCCM_PIN]]*$V6,)</f>
        <v>0</v>
      </c>
      <c r="Z6" s="1">
        <f>IFERROR(Table2[[#This Row],[ERL_PIN]]*$V6,)</f>
        <v>0</v>
      </c>
      <c r="AA6" s="1">
        <f>IFERROR(Table2[[#This Row],[NFI_PIN]]*$V6,)</f>
        <v>0</v>
      </c>
      <c r="AB6" s="1">
        <f>IFERROR(Table2[[#This Row],[Nutrition_PIN]]*$V6,)</f>
        <v>0</v>
      </c>
      <c r="AC6" s="1">
        <f>IFERROR(Table2[[#This Row],[Education_PIN]]*$V6,)</f>
        <v>0</v>
      </c>
      <c r="AD6" s="1">
        <f>IFERROR(Table2[[#This Row],[Shelter_PIN]]*$V6,)</f>
        <v>0</v>
      </c>
      <c r="AE6" s="1">
        <f>IFERROR(Table2[[#This Row],[WASH_PIN]]*$V6,)</f>
        <v>0</v>
      </c>
      <c r="AF6" s="1">
        <f>IFERROR(Table2[[#This Row],[WASH_acute_PIN]]*$V6,)</f>
        <v>0</v>
      </c>
      <c r="AG6" s="1">
        <f>IFERROR(Table2[[#This Row],[Protection_PIN]]*$V6,)</f>
        <v>0</v>
      </c>
      <c r="AH6" s="1">
        <f>IFERROR(Table2[[#This Row],[Food_PIN]]*$V6,)</f>
        <v>0</v>
      </c>
      <c r="AI6" s="1">
        <f>IFERROR(Table2[[#This Row],[Protection_CP_PIN]]*$V6,)</f>
        <v>0</v>
      </c>
      <c r="AJ6" s="1">
        <f>IFERROR(Table2[[#This Row],[Protection_GBV_PIN]]*$V6,)</f>
        <v>0</v>
      </c>
      <c r="AK6" s="1">
        <f>IFERROR(Table2[[#This Row],[Protection_MA_PIN]]*$V6,)</f>
        <v>0</v>
      </c>
      <c r="AL6" s="1">
        <f>IFERROR(Table2[[#This Row],[Health_PIN]]*$W6,)</f>
        <v>0</v>
      </c>
      <c r="AM6" s="1">
        <f>IFERROR(Table2[[#This Row],[CCCM_PIN]]*$W6,)</f>
        <v>0</v>
      </c>
      <c r="AN6" s="1">
        <f>IFERROR(Table2[[#This Row],[ERL_PIN]]*$W6,)</f>
        <v>0</v>
      </c>
      <c r="AO6" s="1">
        <f>IFERROR(Table2[[#This Row],[NFI_PIN]]*$W6,)</f>
        <v>0</v>
      </c>
      <c r="AP6" s="1">
        <f>IFERROR(Table2[[#This Row],[Nutrition_PIN]]*$W6,)</f>
        <v>0</v>
      </c>
      <c r="AQ6" s="1">
        <f>IFERROR(Table2[[#This Row],[Education_PIN]]*$W6,)</f>
        <v>0</v>
      </c>
      <c r="AR6" s="1">
        <f>IFERROR(Table2[[#This Row],[Shelter_PIN]]*$W6,)</f>
        <v>0</v>
      </c>
      <c r="AS6" s="1">
        <f>IFERROR(Table2[[#This Row],[WASH_PIN]]*$W6,)</f>
        <v>0</v>
      </c>
      <c r="AT6" s="1">
        <f>IFERROR(Table2[[#This Row],[WASH_acute_PIN]]*$W6,)</f>
        <v>0</v>
      </c>
      <c r="AU6" s="1">
        <f>IFERROR(Table2[[#This Row],[Protection_PIN]]*$W6,)</f>
        <v>0</v>
      </c>
      <c r="AV6" s="1">
        <f>IFERROR(Table2[[#This Row],[Food_PIN]]*$W6,)</f>
        <v>0</v>
      </c>
      <c r="AW6" s="1">
        <f>IFERROR(Table2[[#This Row],[Protection_CP_PIN]]*$W6,)</f>
        <v>0</v>
      </c>
      <c r="AX6" s="1">
        <f>IFERROR(Table2[[#This Row],[Protection_GBV_PIN]]*$W6,)</f>
        <v>0</v>
      </c>
      <c r="AY6" s="1">
        <f>IFERROR(Table2[[#This Row],[Protection_MA_PIN]]*$W6,)</f>
        <v>0</v>
      </c>
      <c r="AZ6" s="1">
        <v>2</v>
      </c>
      <c r="BA6" s="1">
        <v>3</v>
      </c>
      <c r="BB6" s="1">
        <v>4</v>
      </c>
      <c r="BC6" s="1">
        <v>2</v>
      </c>
      <c r="BD6" s="1">
        <v>3</v>
      </c>
      <c r="BE6" s="1">
        <v>3</v>
      </c>
      <c r="BF6" s="1">
        <v>2</v>
      </c>
      <c r="BG6" s="1">
        <v>3</v>
      </c>
      <c r="BH6" s="1">
        <v>1</v>
      </c>
      <c r="BI6" s="1">
        <v>2</v>
      </c>
      <c r="BJ6" s="1">
        <v>3</v>
      </c>
      <c r="BK6" s="1" t="s">
        <v>665</v>
      </c>
      <c r="BL6" s="1">
        <v>2</v>
      </c>
    </row>
    <row r="7" spans="1:64" x14ac:dyDescent="0.35">
      <c r="A7" t="s">
        <v>6</v>
      </c>
      <c r="B7" t="s">
        <v>667</v>
      </c>
      <c r="C7" t="s">
        <v>7</v>
      </c>
      <c r="D7" t="s">
        <v>37</v>
      </c>
      <c r="E7" t="s">
        <v>670</v>
      </c>
      <c r="F7" t="s">
        <v>38</v>
      </c>
      <c r="G7" t="s">
        <v>37</v>
      </c>
      <c r="H7" s="1">
        <v>0</v>
      </c>
      <c r="I7" s="1" t="s">
        <v>665</v>
      </c>
      <c r="J7" s="1">
        <v>16463</v>
      </c>
      <c r="K7" s="1">
        <v>3886</v>
      </c>
      <c r="L7" s="1">
        <v>4717.0909933626417</v>
      </c>
      <c r="M7" s="1">
        <v>8239.7999999999993</v>
      </c>
      <c r="N7" s="1">
        <v>152</v>
      </c>
      <c r="O7" s="1">
        <v>8847.7825080250495</v>
      </c>
      <c r="P7" s="1">
        <v>154</v>
      </c>
      <c r="Q7" s="1">
        <v>5715</v>
      </c>
      <c r="R7" s="1">
        <v>7937.5</v>
      </c>
      <c r="S7" s="1">
        <v>2874.8</v>
      </c>
      <c r="T7" s="1">
        <v>3097</v>
      </c>
      <c r="U7" s="1">
        <v>2295</v>
      </c>
      <c r="V7" s="3">
        <f>_xlfn.XLOOKUP(Table2[[#This Row],[admin3Pcode]],'Inter-sector dataset'!F:F,'Inter-sector dataset'!Q:Q)</f>
        <v>0</v>
      </c>
      <c r="W7" s="3">
        <f>_xlfn.XLOOKUP(Table2[[#This Row],[admin3Pcode]],'Inter-sector dataset'!F:F,'Inter-sector dataset'!R:R)</f>
        <v>0</v>
      </c>
      <c r="X7" s="1">
        <f>IFERROR(Table2[[#This Row],[Health_PIN]]*$V7,)</f>
        <v>0</v>
      </c>
      <c r="Y7" s="1">
        <f>IFERROR(Table2[[#This Row],[CCCM_PIN]]*$V7,)</f>
        <v>0</v>
      </c>
      <c r="Z7" s="1">
        <f>IFERROR(Table2[[#This Row],[ERL_PIN]]*$V7,)</f>
        <v>0</v>
      </c>
      <c r="AA7" s="1">
        <f>IFERROR(Table2[[#This Row],[NFI_PIN]]*$V7,)</f>
        <v>0</v>
      </c>
      <c r="AB7" s="1">
        <f>IFERROR(Table2[[#This Row],[Nutrition_PIN]]*$V7,)</f>
        <v>0</v>
      </c>
      <c r="AC7" s="1">
        <f>IFERROR(Table2[[#This Row],[Education_PIN]]*$V7,)</f>
        <v>0</v>
      </c>
      <c r="AD7" s="1">
        <f>IFERROR(Table2[[#This Row],[Shelter_PIN]]*$V7,)</f>
        <v>0</v>
      </c>
      <c r="AE7" s="1">
        <f>IFERROR(Table2[[#This Row],[WASH_PIN]]*$V7,)</f>
        <v>0</v>
      </c>
      <c r="AF7" s="1">
        <f>IFERROR(Table2[[#This Row],[WASH_acute_PIN]]*$V7,)</f>
        <v>0</v>
      </c>
      <c r="AG7" s="1">
        <f>IFERROR(Table2[[#This Row],[Protection_PIN]]*$V7,)</f>
        <v>0</v>
      </c>
      <c r="AH7" s="1">
        <f>IFERROR(Table2[[#This Row],[Food_PIN]]*$V7,)</f>
        <v>0</v>
      </c>
      <c r="AI7" s="1">
        <f>IFERROR(Table2[[#This Row],[Protection_CP_PIN]]*$V7,)</f>
        <v>0</v>
      </c>
      <c r="AJ7" s="1">
        <f>IFERROR(Table2[[#This Row],[Protection_GBV_PIN]]*$V7,)</f>
        <v>0</v>
      </c>
      <c r="AK7" s="1">
        <f>IFERROR(Table2[[#This Row],[Protection_MA_PIN]]*$V7,)</f>
        <v>0</v>
      </c>
      <c r="AL7" s="1">
        <f>IFERROR(Table2[[#This Row],[Health_PIN]]*$W7,)</f>
        <v>0</v>
      </c>
      <c r="AM7" s="1">
        <f>IFERROR(Table2[[#This Row],[CCCM_PIN]]*$W7,)</f>
        <v>0</v>
      </c>
      <c r="AN7" s="1">
        <f>IFERROR(Table2[[#This Row],[ERL_PIN]]*$W7,)</f>
        <v>0</v>
      </c>
      <c r="AO7" s="1">
        <f>IFERROR(Table2[[#This Row],[NFI_PIN]]*$W7,)</f>
        <v>0</v>
      </c>
      <c r="AP7" s="1">
        <f>IFERROR(Table2[[#This Row],[Nutrition_PIN]]*$W7,)</f>
        <v>0</v>
      </c>
      <c r="AQ7" s="1">
        <f>IFERROR(Table2[[#This Row],[Education_PIN]]*$W7,)</f>
        <v>0</v>
      </c>
      <c r="AR7" s="1">
        <f>IFERROR(Table2[[#This Row],[Shelter_PIN]]*$W7,)</f>
        <v>0</v>
      </c>
      <c r="AS7" s="1">
        <f>IFERROR(Table2[[#This Row],[WASH_PIN]]*$W7,)</f>
        <v>0</v>
      </c>
      <c r="AT7" s="1">
        <f>IFERROR(Table2[[#This Row],[WASH_acute_PIN]]*$W7,)</f>
        <v>0</v>
      </c>
      <c r="AU7" s="1">
        <f>IFERROR(Table2[[#This Row],[Protection_PIN]]*$W7,)</f>
        <v>0</v>
      </c>
      <c r="AV7" s="1">
        <f>IFERROR(Table2[[#This Row],[Food_PIN]]*$W7,)</f>
        <v>0</v>
      </c>
      <c r="AW7" s="1">
        <f>IFERROR(Table2[[#This Row],[Protection_CP_PIN]]*$W7,)</f>
        <v>0</v>
      </c>
      <c r="AX7" s="1">
        <f>IFERROR(Table2[[#This Row],[Protection_GBV_PIN]]*$W7,)</f>
        <v>0</v>
      </c>
      <c r="AY7" s="1">
        <f>IFERROR(Table2[[#This Row],[Protection_MA_PIN]]*$W7,)</f>
        <v>0</v>
      </c>
      <c r="AZ7" s="1">
        <v>2</v>
      </c>
      <c r="BA7" s="1">
        <v>3</v>
      </c>
      <c r="BB7" s="1">
        <v>4</v>
      </c>
      <c r="BC7" s="1">
        <v>3</v>
      </c>
      <c r="BD7" s="1">
        <v>3</v>
      </c>
      <c r="BE7" s="1">
        <v>2</v>
      </c>
      <c r="BF7" s="1">
        <v>2</v>
      </c>
      <c r="BG7" s="1">
        <v>3</v>
      </c>
      <c r="BH7" s="1">
        <v>2</v>
      </c>
      <c r="BI7" s="1">
        <v>2</v>
      </c>
      <c r="BJ7" s="1">
        <v>3</v>
      </c>
      <c r="BK7" s="1" t="s">
        <v>665</v>
      </c>
      <c r="BL7" s="1">
        <v>3</v>
      </c>
    </row>
    <row r="8" spans="1:64" x14ac:dyDescent="0.35">
      <c r="A8" t="s">
        <v>17</v>
      </c>
      <c r="B8" t="s">
        <v>663</v>
      </c>
      <c r="C8" t="s">
        <v>18</v>
      </c>
      <c r="D8" t="s">
        <v>86</v>
      </c>
      <c r="E8" t="s">
        <v>671</v>
      </c>
      <c r="F8" t="s">
        <v>87</v>
      </c>
      <c r="G8" t="s">
        <v>86</v>
      </c>
      <c r="H8" s="1">
        <v>22528</v>
      </c>
      <c r="I8" s="1" t="s">
        <v>665</v>
      </c>
      <c r="J8" s="1">
        <v>32645</v>
      </c>
      <c r="K8" s="1">
        <v>10680</v>
      </c>
      <c r="L8" s="1">
        <v>6837.0549893284688</v>
      </c>
      <c r="M8" s="1">
        <v>927.76933889344662</v>
      </c>
      <c r="N8" s="1">
        <v>8115</v>
      </c>
      <c r="O8" s="1">
        <v>0</v>
      </c>
      <c r="P8" s="1">
        <v>0</v>
      </c>
      <c r="Q8" s="1">
        <v>13517</v>
      </c>
      <c r="R8" s="1">
        <v>29620.14814814815</v>
      </c>
      <c r="S8" s="1">
        <v>5147.6000000000004</v>
      </c>
      <c r="T8" s="1">
        <v>5203</v>
      </c>
      <c r="U8" s="1">
        <v>3180</v>
      </c>
      <c r="V8" s="3">
        <f>_xlfn.XLOOKUP(Table2[[#This Row],[admin3Pcode]],'Inter-sector dataset'!F:F,'Inter-sector dataset'!Q:Q)</f>
        <v>0</v>
      </c>
      <c r="W8" s="3">
        <f>_xlfn.XLOOKUP(Table2[[#This Row],[admin3Pcode]],'Inter-sector dataset'!F:F,'Inter-sector dataset'!R:R)</f>
        <v>0</v>
      </c>
      <c r="X8" s="1">
        <f>IFERROR(Table2[[#This Row],[Health_PIN]]*$V8,)</f>
        <v>0</v>
      </c>
      <c r="Y8" s="1">
        <f>IFERROR(Table2[[#This Row],[CCCM_PIN]]*$V8,)</f>
        <v>0</v>
      </c>
      <c r="Z8" s="1">
        <f>IFERROR(Table2[[#This Row],[ERL_PIN]]*$V8,)</f>
        <v>0</v>
      </c>
      <c r="AA8" s="1">
        <f>IFERROR(Table2[[#This Row],[NFI_PIN]]*$V8,)</f>
        <v>0</v>
      </c>
      <c r="AB8" s="1">
        <f>IFERROR(Table2[[#This Row],[Nutrition_PIN]]*$V8,)</f>
        <v>0</v>
      </c>
      <c r="AC8" s="1">
        <f>IFERROR(Table2[[#This Row],[Education_PIN]]*$V8,)</f>
        <v>0</v>
      </c>
      <c r="AD8" s="1">
        <f>IFERROR(Table2[[#This Row],[Shelter_PIN]]*$V8,)</f>
        <v>0</v>
      </c>
      <c r="AE8" s="1">
        <f>IFERROR(Table2[[#This Row],[WASH_PIN]]*$V8,)</f>
        <v>0</v>
      </c>
      <c r="AF8" s="1">
        <f>IFERROR(Table2[[#This Row],[WASH_acute_PIN]]*$V8,)</f>
        <v>0</v>
      </c>
      <c r="AG8" s="1">
        <f>IFERROR(Table2[[#This Row],[Protection_PIN]]*$V8,)</f>
        <v>0</v>
      </c>
      <c r="AH8" s="1">
        <f>IFERROR(Table2[[#This Row],[Food_PIN]]*$V8,)</f>
        <v>0</v>
      </c>
      <c r="AI8" s="1">
        <f>IFERROR(Table2[[#This Row],[Protection_CP_PIN]]*$V8,)</f>
        <v>0</v>
      </c>
      <c r="AJ8" s="1">
        <f>IFERROR(Table2[[#This Row],[Protection_GBV_PIN]]*$V8,)</f>
        <v>0</v>
      </c>
      <c r="AK8" s="1">
        <f>IFERROR(Table2[[#This Row],[Protection_MA_PIN]]*$V8,)</f>
        <v>0</v>
      </c>
      <c r="AL8" s="1">
        <f>IFERROR(Table2[[#This Row],[Health_PIN]]*$W8,)</f>
        <v>0</v>
      </c>
      <c r="AM8" s="1">
        <f>IFERROR(Table2[[#This Row],[CCCM_PIN]]*$W8,)</f>
        <v>0</v>
      </c>
      <c r="AN8" s="1">
        <f>IFERROR(Table2[[#This Row],[ERL_PIN]]*$W8,)</f>
        <v>0</v>
      </c>
      <c r="AO8" s="1">
        <f>IFERROR(Table2[[#This Row],[NFI_PIN]]*$W8,)</f>
        <v>0</v>
      </c>
      <c r="AP8" s="1">
        <f>IFERROR(Table2[[#This Row],[Nutrition_PIN]]*$W8,)</f>
        <v>0</v>
      </c>
      <c r="AQ8" s="1">
        <f>IFERROR(Table2[[#This Row],[Education_PIN]]*$W8,)</f>
        <v>0</v>
      </c>
      <c r="AR8" s="1">
        <f>IFERROR(Table2[[#This Row],[Shelter_PIN]]*$W8,)</f>
        <v>0</v>
      </c>
      <c r="AS8" s="1">
        <f>IFERROR(Table2[[#This Row],[WASH_PIN]]*$W8,)</f>
        <v>0</v>
      </c>
      <c r="AT8" s="1">
        <f>IFERROR(Table2[[#This Row],[WASH_acute_PIN]]*$W8,)</f>
        <v>0</v>
      </c>
      <c r="AU8" s="1">
        <f>IFERROR(Table2[[#This Row],[Protection_PIN]]*$W8,)</f>
        <v>0</v>
      </c>
      <c r="AV8" s="1">
        <f>IFERROR(Table2[[#This Row],[Food_PIN]]*$W8,)</f>
        <v>0</v>
      </c>
      <c r="AW8" s="1">
        <f>IFERROR(Table2[[#This Row],[Protection_CP_PIN]]*$W8,)</f>
        <v>0</v>
      </c>
      <c r="AX8" s="1">
        <f>IFERROR(Table2[[#This Row],[Protection_GBV_PIN]]*$W8,)</f>
        <v>0</v>
      </c>
      <c r="AY8" s="1">
        <f>IFERROR(Table2[[#This Row],[Protection_MA_PIN]]*$W8,)</f>
        <v>0</v>
      </c>
      <c r="AZ8" s="1">
        <v>2</v>
      </c>
      <c r="BA8" s="1">
        <v>2</v>
      </c>
      <c r="BB8" s="1">
        <v>3</v>
      </c>
      <c r="BC8" s="1">
        <v>3</v>
      </c>
      <c r="BD8" s="1">
        <v>3</v>
      </c>
      <c r="BE8" s="1">
        <v>3</v>
      </c>
      <c r="BF8" s="1">
        <v>2</v>
      </c>
      <c r="BG8" s="1">
        <v>3</v>
      </c>
      <c r="BH8" s="1">
        <v>1</v>
      </c>
      <c r="BI8" s="1">
        <v>2</v>
      </c>
      <c r="BJ8" s="1">
        <v>3</v>
      </c>
      <c r="BK8" s="1" t="s">
        <v>665</v>
      </c>
      <c r="BL8" s="1">
        <v>2</v>
      </c>
    </row>
    <row r="9" spans="1:64" x14ac:dyDescent="0.35">
      <c r="A9" t="s">
        <v>17</v>
      </c>
      <c r="B9" t="s">
        <v>663</v>
      </c>
      <c r="C9" t="s">
        <v>18</v>
      </c>
      <c r="D9" t="s">
        <v>126</v>
      </c>
      <c r="E9" t="s">
        <v>672</v>
      </c>
      <c r="F9" t="s">
        <v>127</v>
      </c>
      <c r="G9" t="s">
        <v>126</v>
      </c>
      <c r="H9" s="1">
        <v>14380.5</v>
      </c>
      <c r="I9" s="1" t="s">
        <v>665</v>
      </c>
      <c r="J9" s="1">
        <v>25834</v>
      </c>
      <c r="K9" s="1">
        <v>4901</v>
      </c>
      <c r="L9" s="1">
        <v>6219.1844722716396</v>
      </c>
      <c r="M9" s="1">
        <v>1904.138887664069</v>
      </c>
      <c r="N9" s="1">
        <v>4901</v>
      </c>
      <c r="O9" s="1">
        <v>23942.906060606059</v>
      </c>
      <c r="P9" s="1">
        <v>4541</v>
      </c>
      <c r="Q9" s="1">
        <v>8628</v>
      </c>
      <c r="R9" s="1">
        <v>19174</v>
      </c>
      <c r="S9" s="1">
        <v>5595.6</v>
      </c>
      <c r="T9" s="1">
        <v>7857</v>
      </c>
      <c r="U9" s="1">
        <v>4071</v>
      </c>
      <c r="V9" s="3">
        <f>_xlfn.XLOOKUP(Table2[[#This Row],[admin3Pcode]],'Inter-sector dataset'!F:F,'Inter-sector dataset'!Q:Q)</f>
        <v>0</v>
      </c>
      <c r="W9" s="3">
        <f>_xlfn.XLOOKUP(Table2[[#This Row],[admin3Pcode]],'Inter-sector dataset'!F:F,'Inter-sector dataset'!R:R)</f>
        <v>0</v>
      </c>
      <c r="X9" s="1">
        <f>IFERROR(Table2[[#This Row],[Health_PIN]]*$V9,)</f>
        <v>0</v>
      </c>
      <c r="Y9" s="1">
        <f>IFERROR(Table2[[#This Row],[CCCM_PIN]]*$V9,)</f>
        <v>0</v>
      </c>
      <c r="Z9" s="1">
        <f>IFERROR(Table2[[#This Row],[ERL_PIN]]*$V9,)</f>
        <v>0</v>
      </c>
      <c r="AA9" s="1">
        <f>IFERROR(Table2[[#This Row],[NFI_PIN]]*$V9,)</f>
        <v>0</v>
      </c>
      <c r="AB9" s="1">
        <f>IFERROR(Table2[[#This Row],[Nutrition_PIN]]*$V9,)</f>
        <v>0</v>
      </c>
      <c r="AC9" s="1">
        <f>IFERROR(Table2[[#This Row],[Education_PIN]]*$V9,)</f>
        <v>0</v>
      </c>
      <c r="AD9" s="1">
        <f>IFERROR(Table2[[#This Row],[Shelter_PIN]]*$V9,)</f>
        <v>0</v>
      </c>
      <c r="AE9" s="1">
        <f>IFERROR(Table2[[#This Row],[WASH_PIN]]*$V9,)</f>
        <v>0</v>
      </c>
      <c r="AF9" s="1">
        <f>IFERROR(Table2[[#This Row],[WASH_acute_PIN]]*$V9,)</f>
        <v>0</v>
      </c>
      <c r="AG9" s="1">
        <f>IFERROR(Table2[[#This Row],[Protection_PIN]]*$V9,)</f>
        <v>0</v>
      </c>
      <c r="AH9" s="1">
        <f>IFERROR(Table2[[#This Row],[Food_PIN]]*$V9,)</f>
        <v>0</v>
      </c>
      <c r="AI9" s="1">
        <f>IFERROR(Table2[[#This Row],[Protection_CP_PIN]]*$V9,)</f>
        <v>0</v>
      </c>
      <c r="AJ9" s="1">
        <f>IFERROR(Table2[[#This Row],[Protection_GBV_PIN]]*$V9,)</f>
        <v>0</v>
      </c>
      <c r="AK9" s="1">
        <f>IFERROR(Table2[[#This Row],[Protection_MA_PIN]]*$V9,)</f>
        <v>0</v>
      </c>
      <c r="AL9" s="1">
        <f>IFERROR(Table2[[#This Row],[Health_PIN]]*$W9,)</f>
        <v>0</v>
      </c>
      <c r="AM9" s="1">
        <f>IFERROR(Table2[[#This Row],[CCCM_PIN]]*$W9,)</f>
        <v>0</v>
      </c>
      <c r="AN9" s="1">
        <f>IFERROR(Table2[[#This Row],[ERL_PIN]]*$W9,)</f>
        <v>0</v>
      </c>
      <c r="AO9" s="1">
        <f>IFERROR(Table2[[#This Row],[NFI_PIN]]*$W9,)</f>
        <v>0</v>
      </c>
      <c r="AP9" s="1">
        <f>IFERROR(Table2[[#This Row],[Nutrition_PIN]]*$W9,)</f>
        <v>0</v>
      </c>
      <c r="AQ9" s="1">
        <f>IFERROR(Table2[[#This Row],[Education_PIN]]*$W9,)</f>
        <v>0</v>
      </c>
      <c r="AR9" s="1">
        <f>IFERROR(Table2[[#This Row],[Shelter_PIN]]*$W9,)</f>
        <v>0</v>
      </c>
      <c r="AS9" s="1">
        <f>IFERROR(Table2[[#This Row],[WASH_PIN]]*$W9,)</f>
        <v>0</v>
      </c>
      <c r="AT9" s="1">
        <f>IFERROR(Table2[[#This Row],[WASH_acute_PIN]]*$W9,)</f>
        <v>0</v>
      </c>
      <c r="AU9" s="1">
        <f>IFERROR(Table2[[#This Row],[Protection_PIN]]*$W9,)</f>
        <v>0</v>
      </c>
      <c r="AV9" s="1">
        <f>IFERROR(Table2[[#This Row],[Food_PIN]]*$W9,)</f>
        <v>0</v>
      </c>
      <c r="AW9" s="1">
        <f>IFERROR(Table2[[#This Row],[Protection_CP_PIN]]*$W9,)</f>
        <v>0</v>
      </c>
      <c r="AX9" s="1">
        <f>IFERROR(Table2[[#This Row],[Protection_GBV_PIN]]*$W9,)</f>
        <v>0</v>
      </c>
      <c r="AY9" s="1">
        <f>IFERROR(Table2[[#This Row],[Protection_MA_PIN]]*$W9,)</f>
        <v>0</v>
      </c>
      <c r="AZ9" s="1">
        <v>3</v>
      </c>
      <c r="BA9" s="1">
        <v>3</v>
      </c>
      <c r="BB9" s="1">
        <v>4</v>
      </c>
      <c r="BC9" s="1">
        <v>3</v>
      </c>
      <c r="BD9" s="1">
        <v>3</v>
      </c>
      <c r="BE9" s="1">
        <v>3</v>
      </c>
      <c r="BF9" s="1">
        <v>2</v>
      </c>
      <c r="BG9" s="1">
        <v>3</v>
      </c>
      <c r="BH9" s="1">
        <v>3</v>
      </c>
      <c r="BI9" s="1">
        <v>2</v>
      </c>
      <c r="BJ9" s="1">
        <v>3</v>
      </c>
      <c r="BK9" s="1" t="s">
        <v>665</v>
      </c>
      <c r="BL9" s="1">
        <v>3</v>
      </c>
    </row>
    <row r="10" spans="1:64" x14ac:dyDescent="0.35">
      <c r="A10" t="s">
        <v>12</v>
      </c>
      <c r="B10" t="s">
        <v>673</v>
      </c>
      <c r="C10" t="s">
        <v>13</v>
      </c>
      <c r="D10" t="s">
        <v>536</v>
      </c>
      <c r="E10" t="s">
        <v>674</v>
      </c>
      <c r="F10" t="s">
        <v>537</v>
      </c>
      <c r="G10" t="s">
        <v>536</v>
      </c>
      <c r="H10" s="1">
        <v>0</v>
      </c>
      <c r="I10" s="1" t="s">
        <v>665</v>
      </c>
      <c r="J10" s="1">
        <v>11461</v>
      </c>
      <c r="K10" s="1">
        <v>0</v>
      </c>
      <c r="L10" s="1">
        <v>2395.1928576557775</v>
      </c>
      <c r="M10" s="1">
        <v>757.14167474345322</v>
      </c>
      <c r="N10" s="1">
        <v>0</v>
      </c>
      <c r="O10" s="1">
        <v>1133.6588040088823</v>
      </c>
      <c r="P10" s="1">
        <v>0</v>
      </c>
      <c r="Q10" s="1">
        <v>3649</v>
      </c>
      <c r="R10" s="1">
        <v>4504.4444444444453</v>
      </c>
      <c r="S10" s="1">
        <v>810.1</v>
      </c>
      <c r="T10" s="1">
        <v>1879</v>
      </c>
      <c r="U10" s="1">
        <v>4335</v>
      </c>
      <c r="V10" s="3">
        <f>_xlfn.XLOOKUP(Table2[[#This Row],[admin3Pcode]],'Inter-sector dataset'!F:F,'Inter-sector dataset'!Q:Q)</f>
        <v>0</v>
      </c>
      <c r="W10" s="3">
        <f>_xlfn.XLOOKUP(Table2[[#This Row],[admin3Pcode]],'Inter-sector dataset'!F:F,'Inter-sector dataset'!R:R)</f>
        <v>0</v>
      </c>
      <c r="X10" s="1">
        <f>IFERROR(Table2[[#This Row],[Health_PIN]]*$V10,)</f>
        <v>0</v>
      </c>
      <c r="Y10" s="1">
        <f>IFERROR(Table2[[#This Row],[CCCM_PIN]]*$V10,)</f>
        <v>0</v>
      </c>
      <c r="Z10" s="1">
        <f>IFERROR(Table2[[#This Row],[ERL_PIN]]*$V10,)</f>
        <v>0</v>
      </c>
      <c r="AA10" s="1">
        <f>IFERROR(Table2[[#This Row],[NFI_PIN]]*$V10,)</f>
        <v>0</v>
      </c>
      <c r="AB10" s="1">
        <f>IFERROR(Table2[[#This Row],[Nutrition_PIN]]*$V10,)</f>
        <v>0</v>
      </c>
      <c r="AC10" s="1">
        <f>IFERROR(Table2[[#This Row],[Education_PIN]]*$V10,)</f>
        <v>0</v>
      </c>
      <c r="AD10" s="1">
        <f>IFERROR(Table2[[#This Row],[Shelter_PIN]]*$V10,)</f>
        <v>0</v>
      </c>
      <c r="AE10" s="1">
        <f>IFERROR(Table2[[#This Row],[WASH_PIN]]*$V10,)</f>
        <v>0</v>
      </c>
      <c r="AF10" s="1">
        <f>IFERROR(Table2[[#This Row],[WASH_acute_PIN]]*$V10,)</f>
        <v>0</v>
      </c>
      <c r="AG10" s="1">
        <f>IFERROR(Table2[[#This Row],[Protection_PIN]]*$V10,)</f>
        <v>0</v>
      </c>
      <c r="AH10" s="1">
        <f>IFERROR(Table2[[#This Row],[Food_PIN]]*$V10,)</f>
        <v>0</v>
      </c>
      <c r="AI10" s="1">
        <f>IFERROR(Table2[[#This Row],[Protection_CP_PIN]]*$V10,)</f>
        <v>0</v>
      </c>
      <c r="AJ10" s="1">
        <f>IFERROR(Table2[[#This Row],[Protection_GBV_PIN]]*$V10,)</f>
        <v>0</v>
      </c>
      <c r="AK10" s="1">
        <f>IFERROR(Table2[[#This Row],[Protection_MA_PIN]]*$V10,)</f>
        <v>0</v>
      </c>
      <c r="AL10" s="1">
        <f>IFERROR(Table2[[#This Row],[Health_PIN]]*$W10,)</f>
        <v>0</v>
      </c>
      <c r="AM10" s="1">
        <f>IFERROR(Table2[[#This Row],[CCCM_PIN]]*$W10,)</f>
        <v>0</v>
      </c>
      <c r="AN10" s="1">
        <f>IFERROR(Table2[[#This Row],[ERL_PIN]]*$W10,)</f>
        <v>0</v>
      </c>
      <c r="AO10" s="1">
        <f>IFERROR(Table2[[#This Row],[NFI_PIN]]*$W10,)</f>
        <v>0</v>
      </c>
      <c r="AP10" s="1">
        <f>IFERROR(Table2[[#This Row],[Nutrition_PIN]]*$W10,)</f>
        <v>0</v>
      </c>
      <c r="AQ10" s="1">
        <f>IFERROR(Table2[[#This Row],[Education_PIN]]*$W10,)</f>
        <v>0</v>
      </c>
      <c r="AR10" s="1">
        <f>IFERROR(Table2[[#This Row],[Shelter_PIN]]*$W10,)</f>
        <v>0</v>
      </c>
      <c r="AS10" s="1">
        <f>IFERROR(Table2[[#This Row],[WASH_PIN]]*$W10,)</f>
        <v>0</v>
      </c>
      <c r="AT10" s="1">
        <f>IFERROR(Table2[[#This Row],[WASH_acute_PIN]]*$W10,)</f>
        <v>0</v>
      </c>
      <c r="AU10" s="1">
        <f>IFERROR(Table2[[#This Row],[Protection_PIN]]*$W10,)</f>
        <v>0</v>
      </c>
      <c r="AV10" s="1">
        <f>IFERROR(Table2[[#This Row],[Food_PIN]]*$W10,)</f>
        <v>0</v>
      </c>
      <c r="AW10" s="1">
        <f>IFERROR(Table2[[#This Row],[Protection_CP_PIN]]*$W10,)</f>
        <v>0</v>
      </c>
      <c r="AX10" s="1">
        <f>IFERROR(Table2[[#This Row],[Protection_GBV_PIN]]*$W10,)</f>
        <v>0</v>
      </c>
      <c r="AY10" s="1">
        <f>IFERROR(Table2[[#This Row],[Protection_MA_PIN]]*$W10,)</f>
        <v>0</v>
      </c>
      <c r="AZ10" s="1">
        <v>1</v>
      </c>
      <c r="BA10" s="1">
        <v>4</v>
      </c>
      <c r="BB10" s="1">
        <v>4</v>
      </c>
      <c r="BC10" s="1">
        <v>1</v>
      </c>
      <c r="BD10" s="1">
        <v>3</v>
      </c>
      <c r="BE10" s="1">
        <v>2</v>
      </c>
      <c r="BF10" s="1">
        <v>2</v>
      </c>
      <c r="BG10" s="1">
        <v>2</v>
      </c>
      <c r="BH10" s="1">
        <v>2</v>
      </c>
      <c r="BI10" s="1">
        <v>2</v>
      </c>
      <c r="BJ10" s="1">
        <v>3</v>
      </c>
      <c r="BK10" s="1" t="s">
        <v>665</v>
      </c>
      <c r="BL10" s="1">
        <v>2</v>
      </c>
    </row>
    <row r="11" spans="1:64" x14ac:dyDescent="0.35">
      <c r="A11" t="s">
        <v>17</v>
      </c>
      <c r="B11" t="s">
        <v>663</v>
      </c>
      <c r="C11" t="s">
        <v>18</v>
      </c>
      <c r="D11" t="s">
        <v>522</v>
      </c>
      <c r="E11" t="s">
        <v>675</v>
      </c>
      <c r="F11" t="s">
        <v>523</v>
      </c>
      <c r="G11" t="s">
        <v>522</v>
      </c>
      <c r="H11" s="1">
        <v>11304</v>
      </c>
      <c r="I11" s="1" t="s">
        <v>665</v>
      </c>
      <c r="J11" s="1">
        <v>14256</v>
      </c>
      <c r="K11" s="1">
        <v>0</v>
      </c>
      <c r="L11" s="1">
        <v>5558.7842681069596</v>
      </c>
      <c r="M11" s="1">
        <v>1192.897689267362</v>
      </c>
      <c r="N11" s="1">
        <v>0</v>
      </c>
      <c r="O11" s="1">
        <v>175.33807161056711</v>
      </c>
      <c r="P11" s="1">
        <v>0</v>
      </c>
      <c r="Q11" s="1">
        <v>6782</v>
      </c>
      <c r="R11" s="1">
        <v>11304</v>
      </c>
      <c r="S11" s="1">
        <v>1706.4</v>
      </c>
      <c r="T11" s="1">
        <v>5695</v>
      </c>
      <c r="U11" s="1">
        <v>4790</v>
      </c>
      <c r="V11" s="3">
        <f>_xlfn.XLOOKUP(Table2[[#This Row],[admin3Pcode]],'Inter-sector dataset'!F:F,'Inter-sector dataset'!Q:Q)</f>
        <v>0</v>
      </c>
      <c r="W11" s="3">
        <f>_xlfn.XLOOKUP(Table2[[#This Row],[admin3Pcode]],'Inter-sector dataset'!F:F,'Inter-sector dataset'!R:R)</f>
        <v>0</v>
      </c>
      <c r="X11" s="1">
        <f>IFERROR(Table2[[#This Row],[Health_PIN]]*$V11,)</f>
        <v>0</v>
      </c>
      <c r="Y11" s="1">
        <f>IFERROR(Table2[[#This Row],[CCCM_PIN]]*$V11,)</f>
        <v>0</v>
      </c>
      <c r="Z11" s="1">
        <f>IFERROR(Table2[[#This Row],[ERL_PIN]]*$V11,)</f>
        <v>0</v>
      </c>
      <c r="AA11" s="1">
        <f>IFERROR(Table2[[#This Row],[NFI_PIN]]*$V11,)</f>
        <v>0</v>
      </c>
      <c r="AB11" s="1">
        <f>IFERROR(Table2[[#This Row],[Nutrition_PIN]]*$V11,)</f>
        <v>0</v>
      </c>
      <c r="AC11" s="1">
        <f>IFERROR(Table2[[#This Row],[Education_PIN]]*$V11,)</f>
        <v>0</v>
      </c>
      <c r="AD11" s="1">
        <f>IFERROR(Table2[[#This Row],[Shelter_PIN]]*$V11,)</f>
        <v>0</v>
      </c>
      <c r="AE11" s="1">
        <f>IFERROR(Table2[[#This Row],[WASH_PIN]]*$V11,)</f>
        <v>0</v>
      </c>
      <c r="AF11" s="1">
        <f>IFERROR(Table2[[#This Row],[WASH_acute_PIN]]*$V11,)</f>
        <v>0</v>
      </c>
      <c r="AG11" s="1">
        <f>IFERROR(Table2[[#This Row],[Protection_PIN]]*$V11,)</f>
        <v>0</v>
      </c>
      <c r="AH11" s="1">
        <f>IFERROR(Table2[[#This Row],[Food_PIN]]*$V11,)</f>
        <v>0</v>
      </c>
      <c r="AI11" s="1">
        <f>IFERROR(Table2[[#This Row],[Protection_CP_PIN]]*$V11,)</f>
        <v>0</v>
      </c>
      <c r="AJ11" s="1">
        <f>IFERROR(Table2[[#This Row],[Protection_GBV_PIN]]*$V11,)</f>
        <v>0</v>
      </c>
      <c r="AK11" s="1">
        <f>IFERROR(Table2[[#This Row],[Protection_MA_PIN]]*$V11,)</f>
        <v>0</v>
      </c>
      <c r="AL11" s="1">
        <f>IFERROR(Table2[[#This Row],[Health_PIN]]*$W11,)</f>
        <v>0</v>
      </c>
      <c r="AM11" s="1">
        <f>IFERROR(Table2[[#This Row],[CCCM_PIN]]*$W11,)</f>
        <v>0</v>
      </c>
      <c r="AN11" s="1">
        <f>IFERROR(Table2[[#This Row],[ERL_PIN]]*$W11,)</f>
        <v>0</v>
      </c>
      <c r="AO11" s="1">
        <f>IFERROR(Table2[[#This Row],[NFI_PIN]]*$W11,)</f>
        <v>0</v>
      </c>
      <c r="AP11" s="1">
        <f>IFERROR(Table2[[#This Row],[Nutrition_PIN]]*$W11,)</f>
        <v>0</v>
      </c>
      <c r="AQ11" s="1">
        <f>IFERROR(Table2[[#This Row],[Education_PIN]]*$W11,)</f>
        <v>0</v>
      </c>
      <c r="AR11" s="1">
        <f>IFERROR(Table2[[#This Row],[Shelter_PIN]]*$W11,)</f>
        <v>0</v>
      </c>
      <c r="AS11" s="1">
        <f>IFERROR(Table2[[#This Row],[WASH_PIN]]*$W11,)</f>
        <v>0</v>
      </c>
      <c r="AT11" s="1">
        <f>IFERROR(Table2[[#This Row],[WASH_acute_PIN]]*$W11,)</f>
        <v>0</v>
      </c>
      <c r="AU11" s="1">
        <f>IFERROR(Table2[[#This Row],[Protection_PIN]]*$W11,)</f>
        <v>0</v>
      </c>
      <c r="AV11" s="1">
        <f>IFERROR(Table2[[#This Row],[Food_PIN]]*$W11,)</f>
        <v>0</v>
      </c>
      <c r="AW11" s="1">
        <f>IFERROR(Table2[[#This Row],[Protection_CP_PIN]]*$W11,)</f>
        <v>0</v>
      </c>
      <c r="AX11" s="1">
        <f>IFERROR(Table2[[#This Row],[Protection_GBV_PIN]]*$W11,)</f>
        <v>0</v>
      </c>
      <c r="AY11" s="1">
        <f>IFERROR(Table2[[#This Row],[Protection_MA_PIN]]*$W11,)</f>
        <v>0</v>
      </c>
      <c r="AZ11" s="1">
        <v>1</v>
      </c>
      <c r="BA11" s="1">
        <v>3</v>
      </c>
      <c r="BB11" s="1">
        <v>3</v>
      </c>
      <c r="BC11" s="1">
        <v>1</v>
      </c>
      <c r="BD11" s="1">
        <v>3</v>
      </c>
      <c r="BE11" s="1">
        <v>3</v>
      </c>
      <c r="BF11" s="1">
        <v>2</v>
      </c>
      <c r="BG11" s="1">
        <v>2</v>
      </c>
      <c r="BH11" s="1">
        <v>3</v>
      </c>
      <c r="BI11" s="1">
        <v>2</v>
      </c>
      <c r="BJ11" s="1">
        <v>3</v>
      </c>
      <c r="BK11" s="1" t="s">
        <v>665</v>
      </c>
      <c r="BL11" s="1">
        <v>1</v>
      </c>
    </row>
    <row r="12" spans="1:64" x14ac:dyDescent="0.35">
      <c r="A12" t="s">
        <v>12</v>
      </c>
      <c r="B12" t="s">
        <v>673</v>
      </c>
      <c r="C12" t="s">
        <v>13</v>
      </c>
      <c r="D12" t="s">
        <v>524</v>
      </c>
      <c r="E12" t="s">
        <v>676</v>
      </c>
      <c r="F12" t="s">
        <v>525</v>
      </c>
      <c r="G12" t="s">
        <v>524</v>
      </c>
      <c r="H12" s="1">
        <v>0</v>
      </c>
      <c r="I12" s="1" t="s">
        <v>665</v>
      </c>
      <c r="J12" s="1">
        <v>9728</v>
      </c>
      <c r="K12" s="1">
        <v>2252</v>
      </c>
      <c r="L12" s="1">
        <v>2285.7557966187514</v>
      </c>
      <c r="M12" s="1">
        <v>5245.2</v>
      </c>
      <c r="N12" s="1">
        <v>0</v>
      </c>
      <c r="O12" s="1">
        <v>1004.2230210240725</v>
      </c>
      <c r="P12" s="1">
        <v>0</v>
      </c>
      <c r="Q12" s="1">
        <v>3378</v>
      </c>
      <c r="R12" s="1">
        <v>3857.25</v>
      </c>
      <c r="S12" s="1">
        <v>824.6</v>
      </c>
      <c r="T12" s="1">
        <v>1590</v>
      </c>
      <c r="U12" s="1">
        <v>6345</v>
      </c>
      <c r="V12" s="3">
        <f>_xlfn.XLOOKUP(Table2[[#This Row],[admin3Pcode]],'Inter-sector dataset'!F:F,'Inter-sector dataset'!Q:Q)</f>
        <v>0</v>
      </c>
      <c r="W12" s="3">
        <f>_xlfn.XLOOKUP(Table2[[#This Row],[admin3Pcode]],'Inter-sector dataset'!F:F,'Inter-sector dataset'!R:R)</f>
        <v>0</v>
      </c>
      <c r="X12" s="1">
        <f>IFERROR(Table2[[#This Row],[Health_PIN]]*$V12,)</f>
        <v>0</v>
      </c>
      <c r="Y12" s="1">
        <f>IFERROR(Table2[[#This Row],[CCCM_PIN]]*$V12,)</f>
        <v>0</v>
      </c>
      <c r="Z12" s="1">
        <f>IFERROR(Table2[[#This Row],[ERL_PIN]]*$V12,)</f>
        <v>0</v>
      </c>
      <c r="AA12" s="1">
        <f>IFERROR(Table2[[#This Row],[NFI_PIN]]*$V12,)</f>
        <v>0</v>
      </c>
      <c r="AB12" s="1">
        <f>IFERROR(Table2[[#This Row],[Nutrition_PIN]]*$V12,)</f>
        <v>0</v>
      </c>
      <c r="AC12" s="1">
        <f>IFERROR(Table2[[#This Row],[Education_PIN]]*$V12,)</f>
        <v>0</v>
      </c>
      <c r="AD12" s="1">
        <f>IFERROR(Table2[[#This Row],[Shelter_PIN]]*$V12,)</f>
        <v>0</v>
      </c>
      <c r="AE12" s="1">
        <f>IFERROR(Table2[[#This Row],[WASH_PIN]]*$V12,)</f>
        <v>0</v>
      </c>
      <c r="AF12" s="1">
        <f>IFERROR(Table2[[#This Row],[WASH_acute_PIN]]*$V12,)</f>
        <v>0</v>
      </c>
      <c r="AG12" s="1">
        <f>IFERROR(Table2[[#This Row],[Protection_PIN]]*$V12,)</f>
        <v>0</v>
      </c>
      <c r="AH12" s="1">
        <f>IFERROR(Table2[[#This Row],[Food_PIN]]*$V12,)</f>
        <v>0</v>
      </c>
      <c r="AI12" s="1">
        <f>IFERROR(Table2[[#This Row],[Protection_CP_PIN]]*$V12,)</f>
        <v>0</v>
      </c>
      <c r="AJ12" s="1">
        <f>IFERROR(Table2[[#This Row],[Protection_GBV_PIN]]*$V12,)</f>
        <v>0</v>
      </c>
      <c r="AK12" s="1">
        <f>IFERROR(Table2[[#This Row],[Protection_MA_PIN]]*$V12,)</f>
        <v>0</v>
      </c>
      <c r="AL12" s="1">
        <f>IFERROR(Table2[[#This Row],[Health_PIN]]*$W12,)</f>
        <v>0</v>
      </c>
      <c r="AM12" s="1">
        <f>IFERROR(Table2[[#This Row],[CCCM_PIN]]*$W12,)</f>
        <v>0</v>
      </c>
      <c r="AN12" s="1">
        <f>IFERROR(Table2[[#This Row],[ERL_PIN]]*$W12,)</f>
        <v>0</v>
      </c>
      <c r="AO12" s="1">
        <f>IFERROR(Table2[[#This Row],[NFI_PIN]]*$W12,)</f>
        <v>0</v>
      </c>
      <c r="AP12" s="1">
        <f>IFERROR(Table2[[#This Row],[Nutrition_PIN]]*$W12,)</f>
        <v>0</v>
      </c>
      <c r="AQ12" s="1">
        <f>IFERROR(Table2[[#This Row],[Education_PIN]]*$W12,)</f>
        <v>0</v>
      </c>
      <c r="AR12" s="1">
        <f>IFERROR(Table2[[#This Row],[Shelter_PIN]]*$W12,)</f>
        <v>0</v>
      </c>
      <c r="AS12" s="1">
        <f>IFERROR(Table2[[#This Row],[WASH_PIN]]*$W12,)</f>
        <v>0</v>
      </c>
      <c r="AT12" s="1">
        <f>IFERROR(Table2[[#This Row],[WASH_acute_PIN]]*$W12,)</f>
        <v>0</v>
      </c>
      <c r="AU12" s="1">
        <f>IFERROR(Table2[[#This Row],[Protection_PIN]]*$W12,)</f>
        <v>0</v>
      </c>
      <c r="AV12" s="1">
        <f>IFERROR(Table2[[#This Row],[Food_PIN]]*$W12,)</f>
        <v>0</v>
      </c>
      <c r="AW12" s="1">
        <f>IFERROR(Table2[[#This Row],[Protection_CP_PIN]]*$W12,)</f>
        <v>0</v>
      </c>
      <c r="AX12" s="1">
        <f>IFERROR(Table2[[#This Row],[Protection_GBV_PIN]]*$W12,)</f>
        <v>0</v>
      </c>
      <c r="AY12" s="1">
        <f>IFERROR(Table2[[#This Row],[Protection_MA_PIN]]*$W12,)</f>
        <v>0</v>
      </c>
      <c r="AZ12" s="1">
        <v>1</v>
      </c>
      <c r="BA12" s="1">
        <v>3</v>
      </c>
      <c r="BB12" s="1">
        <v>4</v>
      </c>
      <c r="BC12" s="1">
        <v>2</v>
      </c>
      <c r="BD12" s="1">
        <v>3</v>
      </c>
      <c r="BE12" s="1">
        <v>2</v>
      </c>
      <c r="BF12" s="1">
        <v>2</v>
      </c>
      <c r="BG12" s="1">
        <v>2</v>
      </c>
      <c r="BH12" s="1">
        <v>2</v>
      </c>
      <c r="BI12" s="1">
        <v>2</v>
      </c>
      <c r="BJ12" s="1">
        <v>3</v>
      </c>
      <c r="BK12" s="1" t="s">
        <v>665</v>
      </c>
      <c r="BL12" s="1">
        <v>2</v>
      </c>
    </row>
    <row r="13" spans="1:64" x14ac:dyDescent="0.35">
      <c r="A13" t="s">
        <v>104</v>
      </c>
      <c r="B13" t="s">
        <v>677</v>
      </c>
      <c r="C13" t="s">
        <v>105</v>
      </c>
      <c r="D13" t="s">
        <v>463</v>
      </c>
      <c r="E13" t="s">
        <v>678</v>
      </c>
      <c r="F13" t="s">
        <v>464</v>
      </c>
      <c r="G13" t="s">
        <v>679</v>
      </c>
      <c r="H13" s="1">
        <v>6675</v>
      </c>
      <c r="I13" s="1" t="s">
        <v>665</v>
      </c>
      <c r="J13" s="1">
        <v>9554</v>
      </c>
      <c r="K13" s="1">
        <v>2670</v>
      </c>
      <c r="L13" s="1">
        <v>3879.8394770883406</v>
      </c>
      <c r="M13" s="1">
        <v>4620.0333333333338</v>
      </c>
      <c r="N13" s="1">
        <v>2670</v>
      </c>
      <c r="O13" s="1">
        <v>6527.2120517824605</v>
      </c>
      <c r="P13" s="1">
        <v>3696</v>
      </c>
      <c r="Q13" s="1">
        <v>4005</v>
      </c>
      <c r="R13" s="1">
        <v>6056.9444444444434</v>
      </c>
      <c r="S13" s="1">
        <v>2315.6</v>
      </c>
      <c r="T13" s="1">
        <v>6139</v>
      </c>
      <c r="U13" s="1">
        <v>6770</v>
      </c>
      <c r="V13" s="3">
        <f>_xlfn.XLOOKUP(Table2[[#This Row],[admin3Pcode]],'Inter-sector dataset'!F:F,'Inter-sector dataset'!Q:Q)</f>
        <v>0</v>
      </c>
      <c r="W13" s="3">
        <f>_xlfn.XLOOKUP(Table2[[#This Row],[admin3Pcode]],'Inter-sector dataset'!F:F,'Inter-sector dataset'!R:R)</f>
        <v>0</v>
      </c>
      <c r="X13" s="1">
        <f>IFERROR(Table2[[#This Row],[Health_PIN]]*$V13,)</f>
        <v>0</v>
      </c>
      <c r="Y13" s="1">
        <f>IFERROR(Table2[[#This Row],[CCCM_PIN]]*$V13,)</f>
        <v>0</v>
      </c>
      <c r="Z13" s="1">
        <f>IFERROR(Table2[[#This Row],[ERL_PIN]]*$V13,)</f>
        <v>0</v>
      </c>
      <c r="AA13" s="1">
        <f>IFERROR(Table2[[#This Row],[NFI_PIN]]*$V13,)</f>
        <v>0</v>
      </c>
      <c r="AB13" s="1">
        <f>IFERROR(Table2[[#This Row],[Nutrition_PIN]]*$V13,)</f>
        <v>0</v>
      </c>
      <c r="AC13" s="1">
        <f>IFERROR(Table2[[#This Row],[Education_PIN]]*$V13,)</f>
        <v>0</v>
      </c>
      <c r="AD13" s="1">
        <f>IFERROR(Table2[[#This Row],[Shelter_PIN]]*$V13,)</f>
        <v>0</v>
      </c>
      <c r="AE13" s="1">
        <f>IFERROR(Table2[[#This Row],[WASH_PIN]]*$V13,)</f>
        <v>0</v>
      </c>
      <c r="AF13" s="1">
        <f>IFERROR(Table2[[#This Row],[WASH_acute_PIN]]*$V13,)</f>
        <v>0</v>
      </c>
      <c r="AG13" s="1">
        <f>IFERROR(Table2[[#This Row],[Protection_PIN]]*$V13,)</f>
        <v>0</v>
      </c>
      <c r="AH13" s="1">
        <f>IFERROR(Table2[[#This Row],[Food_PIN]]*$V13,)</f>
        <v>0</v>
      </c>
      <c r="AI13" s="1">
        <f>IFERROR(Table2[[#This Row],[Protection_CP_PIN]]*$V13,)</f>
        <v>0</v>
      </c>
      <c r="AJ13" s="1">
        <f>IFERROR(Table2[[#This Row],[Protection_GBV_PIN]]*$V13,)</f>
        <v>0</v>
      </c>
      <c r="AK13" s="1">
        <f>IFERROR(Table2[[#This Row],[Protection_MA_PIN]]*$V13,)</f>
        <v>0</v>
      </c>
      <c r="AL13" s="1">
        <f>IFERROR(Table2[[#This Row],[Health_PIN]]*$W13,)</f>
        <v>0</v>
      </c>
      <c r="AM13" s="1">
        <f>IFERROR(Table2[[#This Row],[CCCM_PIN]]*$W13,)</f>
        <v>0</v>
      </c>
      <c r="AN13" s="1">
        <f>IFERROR(Table2[[#This Row],[ERL_PIN]]*$W13,)</f>
        <v>0</v>
      </c>
      <c r="AO13" s="1">
        <f>IFERROR(Table2[[#This Row],[NFI_PIN]]*$W13,)</f>
        <v>0</v>
      </c>
      <c r="AP13" s="1">
        <f>IFERROR(Table2[[#This Row],[Nutrition_PIN]]*$W13,)</f>
        <v>0</v>
      </c>
      <c r="AQ13" s="1">
        <f>IFERROR(Table2[[#This Row],[Education_PIN]]*$W13,)</f>
        <v>0</v>
      </c>
      <c r="AR13" s="1">
        <f>IFERROR(Table2[[#This Row],[Shelter_PIN]]*$W13,)</f>
        <v>0</v>
      </c>
      <c r="AS13" s="1">
        <f>IFERROR(Table2[[#This Row],[WASH_PIN]]*$W13,)</f>
        <v>0</v>
      </c>
      <c r="AT13" s="1">
        <f>IFERROR(Table2[[#This Row],[WASH_acute_PIN]]*$W13,)</f>
        <v>0</v>
      </c>
      <c r="AU13" s="1">
        <f>IFERROR(Table2[[#This Row],[Protection_PIN]]*$W13,)</f>
        <v>0</v>
      </c>
      <c r="AV13" s="1">
        <f>IFERROR(Table2[[#This Row],[Food_PIN]]*$W13,)</f>
        <v>0</v>
      </c>
      <c r="AW13" s="1">
        <f>IFERROR(Table2[[#This Row],[Protection_CP_PIN]]*$W13,)</f>
        <v>0</v>
      </c>
      <c r="AX13" s="1">
        <f>IFERROR(Table2[[#This Row],[Protection_GBV_PIN]]*$W13,)</f>
        <v>0</v>
      </c>
      <c r="AY13" s="1">
        <f>IFERROR(Table2[[#This Row],[Protection_MA_PIN]]*$W13,)</f>
        <v>0</v>
      </c>
      <c r="AZ13" s="1">
        <v>2</v>
      </c>
      <c r="BA13" s="1">
        <v>3</v>
      </c>
      <c r="BB13" s="1">
        <v>4</v>
      </c>
      <c r="BC13" s="1">
        <v>2</v>
      </c>
      <c r="BD13" s="1">
        <v>3</v>
      </c>
      <c r="BE13" s="1">
        <v>3</v>
      </c>
      <c r="BF13" s="1">
        <v>2</v>
      </c>
      <c r="BG13" s="1">
        <v>3</v>
      </c>
      <c r="BH13" s="1">
        <v>4</v>
      </c>
      <c r="BI13" s="1">
        <v>2</v>
      </c>
      <c r="BJ13" s="1">
        <v>3</v>
      </c>
      <c r="BK13" s="1" t="s">
        <v>665</v>
      </c>
      <c r="BL13" s="1">
        <v>4</v>
      </c>
    </row>
    <row r="14" spans="1:64" x14ac:dyDescent="0.35">
      <c r="A14" t="s">
        <v>17</v>
      </c>
      <c r="B14" t="s">
        <v>663</v>
      </c>
      <c r="C14" t="s">
        <v>18</v>
      </c>
      <c r="D14" t="s">
        <v>118</v>
      </c>
      <c r="E14" t="s">
        <v>680</v>
      </c>
      <c r="F14" t="s">
        <v>120</v>
      </c>
      <c r="G14" t="s">
        <v>118</v>
      </c>
      <c r="H14" s="1">
        <v>23289.5</v>
      </c>
      <c r="I14" s="1" t="s">
        <v>665</v>
      </c>
      <c r="J14" s="1">
        <v>46121</v>
      </c>
      <c r="K14" s="1">
        <v>274</v>
      </c>
      <c r="L14" s="1">
        <v>10851.823763526219</v>
      </c>
      <c r="M14" s="1">
        <v>15387.883333333333</v>
      </c>
      <c r="N14" s="1">
        <v>0</v>
      </c>
      <c r="O14" s="1">
        <v>0</v>
      </c>
      <c r="P14" s="1">
        <v>0</v>
      </c>
      <c r="Q14" s="1">
        <v>13974</v>
      </c>
      <c r="R14" s="1">
        <v>30276.35</v>
      </c>
      <c r="S14" s="1">
        <v>3592.2</v>
      </c>
      <c r="T14" s="1">
        <v>6952</v>
      </c>
      <c r="U14" s="1">
        <v>8682</v>
      </c>
      <c r="V14" s="3">
        <f>_xlfn.XLOOKUP(Table2[[#This Row],[admin3Pcode]],'Inter-sector dataset'!F:F,'Inter-sector dataset'!Q:Q)</f>
        <v>0</v>
      </c>
      <c r="W14" s="3">
        <f>_xlfn.XLOOKUP(Table2[[#This Row],[admin3Pcode]],'Inter-sector dataset'!F:F,'Inter-sector dataset'!R:R)</f>
        <v>0</v>
      </c>
      <c r="X14" s="1">
        <f>IFERROR(Table2[[#This Row],[Health_PIN]]*$V14,)</f>
        <v>0</v>
      </c>
      <c r="Y14" s="1">
        <f>IFERROR(Table2[[#This Row],[CCCM_PIN]]*$V14,)</f>
        <v>0</v>
      </c>
      <c r="Z14" s="1">
        <f>IFERROR(Table2[[#This Row],[ERL_PIN]]*$V14,)</f>
        <v>0</v>
      </c>
      <c r="AA14" s="1">
        <f>IFERROR(Table2[[#This Row],[NFI_PIN]]*$V14,)</f>
        <v>0</v>
      </c>
      <c r="AB14" s="1">
        <f>IFERROR(Table2[[#This Row],[Nutrition_PIN]]*$V14,)</f>
        <v>0</v>
      </c>
      <c r="AC14" s="1">
        <f>IFERROR(Table2[[#This Row],[Education_PIN]]*$V14,)</f>
        <v>0</v>
      </c>
      <c r="AD14" s="1">
        <f>IFERROR(Table2[[#This Row],[Shelter_PIN]]*$V14,)</f>
        <v>0</v>
      </c>
      <c r="AE14" s="1">
        <f>IFERROR(Table2[[#This Row],[WASH_PIN]]*$V14,)</f>
        <v>0</v>
      </c>
      <c r="AF14" s="1">
        <f>IFERROR(Table2[[#This Row],[WASH_acute_PIN]]*$V14,)</f>
        <v>0</v>
      </c>
      <c r="AG14" s="1">
        <f>IFERROR(Table2[[#This Row],[Protection_PIN]]*$V14,)</f>
        <v>0</v>
      </c>
      <c r="AH14" s="1">
        <f>IFERROR(Table2[[#This Row],[Food_PIN]]*$V14,)</f>
        <v>0</v>
      </c>
      <c r="AI14" s="1">
        <f>IFERROR(Table2[[#This Row],[Protection_CP_PIN]]*$V14,)</f>
        <v>0</v>
      </c>
      <c r="AJ14" s="1">
        <f>IFERROR(Table2[[#This Row],[Protection_GBV_PIN]]*$V14,)</f>
        <v>0</v>
      </c>
      <c r="AK14" s="1">
        <f>IFERROR(Table2[[#This Row],[Protection_MA_PIN]]*$V14,)</f>
        <v>0</v>
      </c>
      <c r="AL14" s="1">
        <f>IFERROR(Table2[[#This Row],[Health_PIN]]*$W14,)</f>
        <v>0</v>
      </c>
      <c r="AM14" s="1">
        <f>IFERROR(Table2[[#This Row],[CCCM_PIN]]*$W14,)</f>
        <v>0</v>
      </c>
      <c r="AN14" s="1">
        <f>IFERROR(Table2[[#This Row],[ERL_PIN]]*$W14,)</f>
        <v>0</v>
      </c>
      <c r="AO14" s="1">
        <f>IFERROR(Table2[[#This Row],[NFI_PIN]]*$W14,)</f>
        <v>0</v>
      </c>
      <c r="AP14" s="1">
        <f>IFERROR(Table2[[#This Row],[Nutrition_PIN]]*$W14,)</f>
        <v>0</v>
      </c>
      <c r="AQ14" s="1">
        <f>IFERROR(Table2[[#This Row],[Education_PIN]]*$W14,)</f>
        <v>0</v>
      </c>
      <c r="AR14" s="1">
        <f>IFERROR(Table2[[#This Row],[Shelter_PIN]]*$W14,)</f>
        <v>0</v>
      </c>
      <c r="AS14" s="1">
        <f>IFERROR(Table2[[#This Row],[WASH_PIN]]*$W14,)</f>
        <v>0</v>
      </c>
      <c r="AT14" s="1">
        <f>IFERROR(Table2[[#This Row],[WASH_acute_PIN]]*$W14,)</f>
        <v>0</v>
      </c>
      <c r="AU14" s="1">
        <f>IFERROR(Table2[[#This Row],[Protection_PIN]]*$W14,)</f>
        <v>0</v>
      </c>
      <c r="AV14" s="1">
        <f>IFERROR(Table2[[#This Row],[Food_PIN]]*$W14,)</f>
        <v>0</v>
      </c>
      <c r="AW14" s="1">
        <f>IFERROR(Table2[[#This Row],[Protection_CP_PIN]]*$W14,)</f>
        <v>0</v>
      </c>
      <c r="AX14" s="1">
        <f>IFERROR(Table2[[#This Row],[Protection_GBV_PIN]]*$W14,)</f>
        <v>0</v>
      </c>
      <c r="AY14" s="1">
        <f>IFERROR(Table2[[#This Row],[Protection_MA_PIN]]*$W14,)</f>
        <v>0</v>
      </c>
      <c r="AZ14" s="1">
        <v>1</v>
      </c>
      <c r="BA14" s="1">
        <v>3</v>
      </c>
      <c r="BB14" s="1">
        <v>4</v>
      </c>
      <c r="BC14" s="1">
        <v>2</v>
      </c>
      <c r="BD14" s="1">
        <v>3</v>
      </c>
      <c r="BE14" s="1">
        <v>3</v>
      </c>
      <c r="BF14" s="1">
        <v>2</v>
      </c>
      <c r="BG14" s="1">
        <v>2</v>
      </c>
      <c r="BH14" s="1">
        <v>2</v>
      </c>
      <c r="BI14" s="1">
        <v>2</v>
      </c>
      <c r="BJ14" s="1">
        <v>3</v>
      </c>
      <c r="BK14" s="1" t="s">
        <v>665</v>
      </c>
      <c r="BL14" s="1">
        <v>1</v>
      </c>
    </row>
    <row r="15" spans="1:64" x14ac:dyDescent="0.35">
      <c r="A15" t="s">
        <v>168</v>
      </c>
      <c r="B15" t="s">
        <v>681</v>
      </c>
      <c r="C15" t="s">
        <v>169</v>
      </c>
      <c r="D15" t="s">
        <v>177</v>
      </c>
      <c r="E15" t="s">
        <v>682</v>
      </c>
      <c r="F15" t="s">
        <v>179</v>
      </c>
      <c r="G15" t="s">
        <v>177</v>
      </c>
      <c r="H15" s="1">
        <v>33319</v>
      </c>
      <c r="I15" s="1" t="s">
        <v>665</v>
      </c>
      <c r="J15" s="1">
        <v>38910</v>
      </c>
      <c r="K15" s="1">
        <v>13328</v>
      </c>
      <c r="L15" s="1">
        <v>21591.667544330172</v>
      </c>
      <c r="M15" s="1">
        <v>26047.233333333334</v>
      </c>
      <c r="N15" s="1">
        <v>0</v>
      </c>
      <c r="O15" s="1">
        <v>49609.955630591197</v>
      </c>
      <c r="P15" s="1">
        <v>18135</v>
      </c>
      <c r="Q15" s="1">
        <v>19991</v>
      </c>
      <c r="R15" s="1">
        <v>46739.152777777781</v>
      </c>
      <c r="S15" s="1">
        <v>11912</v>
      </c>
      <c r="T15" s="1">
        <v>11114</v>
      </c>
      <c r="U15" s="1">
        <v>16662</v>
      </c>
      <c r="V15" s="3">
        <f>_xlfn.XLOOKUP(Table2[[#This Row],[admin3Pcode]],'Inter-sector dataset'!F:F,'Inter-sector dataset'!Q:Q)</f>
        <v>0</v>
      </c>
      <c r="W15" s="3">
        <f>_xlfn.XLOOKUP(Table2[[#This Row],[admin3Pcode]],'Inter-sector dataset'!F:F,'Inter-sector dataset'!R:R)</f>
        <v>0</v>
      </c>
      <c r="X15" s="1">
        <f>IFERROR(Table2[[#This Row],[Health_PIN]]*$V15,)</f>
        <v>0</v>
      </c>
      <c r="Y15" s="1">
        <f>IFERROR(Table2[[#This Row],[CCCM_PIN]]*$V15,)</f>
        <v>0</v>
      </c>
      <c r="Z15" s="1">
        <f>IFERROR(Table2[[#This Row],[ERL_PIN]]*$V15,)</f>
        <v>0</v>
      </c>
      <c r="AA15" s="1">
        <f>IFERROR(Table2[[#This Row],[NFI_PIN]]*$V15,)</f>
        <v>0</v>
      </c>
      <c r="AB15" s="1">
        <f>IFERROR(Table2[[#This Row],[Nutrition_PIN]]*$V15,)</f>
        <v>0</v>
      </c>
      <c r="AC15" s="1">
        <f>IFERROR(Table2[[#This Row],[Education_PIN]]*$V15,)</f>
        <v>0</v>
      </c>
      <c r="AD15" s="1">
        <f>IFERROR(Table2[[#This Row],[Shelter_PIN]]*$V15,)</f>
        <v>0</v>
      </c>
      <c r="AE15" s="1">
        <f>IFERROR(Table2[[#This Row],[WASH_PIN]]*$V15,)</f>
        <v>0</v>
      </c>
      <c r="AF15" s="1">
        <f>IFERROR(Table2[[#This Row],[WASH_acute_PIN]]*$V15,)</f>
        <v>0</v>
      </c>
      <c r="AG15" s="1">
        <f>IFERROR(Table2[[#This Row],[Protection_PIN]]*$V15,)</f>
        <v>0</v>
      </c>
      <c r="AH15" s="1">
        <f>IFERROR(Table2[[#This Row],[Food_PIN]]*$V15,)</f>
        <v>0</v>
      </c>
      <c r="AI15" s="1">
        <f>IFERROR(Table2[[#This Row],[Protection_CP_PIN]]*$V15,)</f>
        <v>0</v>
      </c>
      <c r="AJ15" s="1">
        <f>IFERROR(Table2[[#This Row],[Protection_GBV_PIN]]*$V15,)</f>
        <v>0</v>
      </c>
      <c r="AK15" s="1">
        <f>IFERROR(Table2[[#This Row],[Protection_MA_PIN]]*$V15,)</f>
        <v>0</v>
      </c>
      <c r="AL15" s="1">
        <f>IFERROR(Table2[[#This Row],[Health_PIN]]*$W15,)</f>
        <v>0</v>
      </c>
      <c r="AM15" s="1">
        <f>IFERROR(Table2[[#This Row],[CCCM_PIN]]*$W15,)</f>
        <v>0</v>
      </c>
      <c r="AN15" s="1">
        <f>IFERROR(Table2[[#This Row],[ERL_PIN]]*$W15,)</f>
        <v>0</v>
      </c>
      <c r="AO15" s="1">
        <f>IFERROR(Table2[[#This Row],[NFI_PIN]]*$W15,)</f>
        <v>0</v>
      </c>
      <c r="AP15" s="1">
        <f>IFERROR(Table2[[#This Row],[Nutrition_PIN]]*$W15,)</f>
        <v>0</v>
      </c>
      <c r="AQ15" s="1">
        <f>IFERROR(Table2[[#This Row],[Education_PIN]]*$W15,)</f>
        <v>0</v>
      </c>
      <c r="AR15" s="1">
        <f>IFERROR(Table2[[#This Row],[Shelter_PIN]]*$W15,)</f>
        <v>0</v>
      </c>
      <c r="AS15" s="1">
        <f>IFERROR(Table2[[#This Row],[WASH_PIN]]*$W15,)</f>
        <v>0</v>
      </c>
      <c r="AT15" s="1">
        <f>IFERROR(Table2[[#This Row],[WASH_acute_PIN]]*$W15,)</f>
        <v>0</v>
      </c>
      <c r="AU15" s="1">
        <f>IFERROR(Table2[[#This Row],[Protection_PIN]]*$W15,)</f>
        <v>0</v>
      </c>
      <c r="AV15" s="1">
        <f>IFERROR(Table2[[#This Row],[Food_PIN]]*$W15,)</f>
        <v>0</v>
      </c>
      <c r="AW15" s="1">
        <f>IFERROR(Table2[[#This Row],[Protection_CP_PIN]]*$W15,)</f>
        <v>0</v>
      </c>
      <c r="AX15" s="1">
        <f>IFERROR(Table2[[#This Row],[Protection_GBV_PIN]]*$W15,)</f>
        <v>0</v>
      </c>
      <c r="AY15" s="1">
        <f>IFERROR(Table2[[#This Row],[Protection_MA_PIN]]*$W15,)</f>
        <v>0</v>
      </c>
      <c r="AZ15" s="1">
        <v>1</v>
      </c>
      <c r="BA15" s="1">
        <v>3</v>
      </c>
      <c r="BB15" s="1">
        <v>3</v>
      </c>
      <c r="BC15" s="1">
        <v>2</v>
      </c>
      <c r="BD15" s="1">
        <v>3</v>
      </c>
      <c r="BE15" s="1">
        <v>3</v>
      </c>
      <c r="BF15" s="1">
        <v>2</v>
      </c>
      <c r="BG15" s="1">
        <v>3</v>
      </c>
      <c r="BH15" s="1">
        <v>2</v>
      </c>
      <c r="BI15" s="1">
        <v>2</v>
      </c>
      <c r="BJ15" s="1">
        <v>4</v>
      </c>
      <c r="BK15" s="1" t="s">
        <v>665</v>
      </c>
      <c r="BL15" s="1">
        <v>4</v>
      </c>
    </row>
    <row r="16" spans="1:64" x14ac:dyDescent="0.35">
      <c r="A16" t="s">
        <v>200</v>
      </c>
      <c r="B16" t="s">
        <v>683</v>
      </c>
      <c r="C16" t="s">
        <v>201</v>
      </c>
      <c r="D16" t="s">
        <v>465</v>
      </c>
      <c r="E16" t="s">
        <v>684</v>
      </c>
      <c r="F16" t="s">
        <v>466</v>
      </c>
      <c r="G16" t="s">
        <v>465</v>
      </c>
      <c r="H16" s="1">
        <v>39485.25</v>
      </c>
      <c r="I16" s="1">
        <v>130</v>
      </c>
      <c r="J16" s="1">
        <v>44086</v>
      </c>
      <c r="K16" s="1">
        <v>5405</v>
      </c>
      <c r="L16" s="1">
        <v>17926.041665748904</v>
      </c>
      <c r="M16" s="1">
        <v>19552.733333333334</v>
      </c>
      <c r="N16" s="1">
        <v>12118</v>
      </c>
      <c r="O16" s="1">
        <v>48965.789985160154</v>
      </c>
      <c r="P16" s="1">
        <v>24332</v>
      </c>
      <c r="Q16" s="1">
        <v>15794</v>
      </c>
      <c r="R16" s="1">
        <v>44510.645454545454</v>
      </c>
      <c r="S16" s="1">
        <v>12684.8</v>
      </c>
      <c r="T16" s="1">
        <v>22616</v>
      </c>
      <c r="U16" s="1">
        <v>43998</v>
      </c>
      <c r="V16" s="3">
        <f>_xlfn.XLOOKUP(Table2[[#This Row],[admin3Pcode]],'Inter-sector dataset'!F:F,'Inter-sector dataset'!Q:Q)</f>
        <v>0</v>
      </c>
      <c r="W16" s="3">
        <f>_xlfn.XLOOKUP(Table2[[#This Row],[admin3Pcode]],'Inter-sector dataset'!F:F,'Inter-sector dataset'!R:R)</f>
        <v>0</v>
      </c>
      <c r="X16" s="1">
        <f>IFERROR(Table2[[#This Row],[Health_PIN]]*$V16,)</f>
        <v>0</v>
      </c>
      <c r="Y16" s="1">
        <f>IFERROR(Table2[[#This Row],[CCCM_PIN]]*$V16,)</f>
        <v>0</v>
      </c>
      <c r="Z16" s="1">
        <f>IFERROR(Table2[[#This Row],[ERL_PIN]]*$V16,)</f>
        <v>0</v>
      </c>
      <c r="AA16" s="1">
        <f>IFERROR(Table2[[#This Row],[NFI_PIN]]*$V16,)</f>
        <v>0</v>
      </c>
      <c r="AB16" s="1">
        <f>IFERROR(Table2[[#This Row],[Nutrition_PIN]]*$V16,)</f>
        <v>0</v>
      </c>
      <c r="AC16" s="1">
        <f>IFERROR(Table2[[#This Row],[Education_PIN]]*$V16,)</f>
        <v>0</v>
      </c>
      <c r="AD16" s="1">
        <f>IFERROR(Table2[[#This Row],[Shelter_PIN]]*$V16,)</f>
        <v>0</v>
      </c>
      <c r="AE16" s="1">
        <f>IFERROR(Table2[[#This Row],[WASH_PIN]]*$V16,)</f>
        <v>0</v>
      </c>
      <c r="AF16" s="1">
        <f>IFERROR(Table2[[#This Row],[WASH_acute_PIN]]*$V16,)</f>
        <v>0</v>
      </c>
      <c r="AG16" s="1">
        <f>IFERROR(Table2[[#This Row],[Protection_PIN]]*$V16,)</f>
        <v>0</v>
      </c>
      <c r="AH16" s="1">
        <f>IFERROR(Table2[[#This Row],[Food_PIN]]*$V16,)</f>
        <v>0</v>
      </c>
      <c r="AI16" s="1">
        <f>IFERROR(Table2[[#This Row],[Protection_CP_PIN]]*$V16,)</f>
        <v>0</v>
      </c>
      <c r="AJ16" s="1">
        <f>IFERROR(Table2[[#This Row],[Protection_GBV_PIN]]*$V16,)</f>
        <v>0</v>
      </c>
      <c r="AK16" s="1">
        <f>IFERROR(Table2[[#This Row],[Protection_MA_PIN]]*$V16,)</f>
        <v>0</v>
      </c>
      <c r="AL16" s="1">
        <f>IFERROR(Table2[[#This Row],[Health_PIN]]*$W16,)</f>
        <v>0</v>
      </c>
      <c r="AM16" s="1">
        <f>IFERROR(Table2[[#This Row],[CCCM_PIN]]*$W16,)</f>
        <v>0</v>
      </c>
      <c r="AN16" s="1">
        <f>IFERROR(Table2[[#This Row],[ERL_PIN]]*$W16,)</f>
        <v>0</v>
      </c>
      <c r="AO16" s="1">
        <f>IFERROR(Table2[[#This Row],[NFI_PIN]]*$W16,)</f>
        <v>0</v>
      </c>
      <c r="AP16" s="1">
        <f>IFERROR(Table2[[#This Row],[Nutrition_PIN]]*$W16,)</f>
        <v>0</v>
      </c>
      <c r="AQ16" s="1">
        <f>IFERROR(Table2[[#This Row],[Education_PIN]]*$W16,)</f>
        <v>0</v>
      </c>
      <c r="AR16" s="1">
        <f>IFERROR(Table2[[#This Row],[Shelter_PIN]]*$W16,)</f>
        <v>0</v>
      </c>
      <c r="AS16" s="1">
        <f>IFERROR(Table2[[#This Row],[WASH_PIN]]*$W16,)</f>
        <v>0</v>
      </c>
      <c r="AT16" s="1">
        <f>IFERROR(Table2[[#This Row],[WASH_acute_PIN]]*$W16,)</f>
        <v>0</v>
      </c>
      <c r="AU16" s="1">
        <f>IFERROR(Table2[[#This Row],[Protection_PIN]]*$W16,)</f>
        <v>0</v>
      </c>
      <c r="AV16" s="1">
        <f>IFERROR(Table2[[#This Row],[Food_PIN]]*$W16,)</f>
        <v>0</v>
      </c>
      <c r="AW16" s="1">
        <f>IFERROR(Table2[[#This Row],[Protection_CP_PIN]]*$W16,)</f>
        <v>0</v>
      </c>
      <c r="AX16" s="1">
        <f>IFERROR(Table2[[#This Row],[Protection_GBV_PIN]]*$W16,)</f>
        <v>0</v>
      </c>
      <c r="AY16" s="1">
        <f>IFERROR(Table2[[#This Row],[Protection_MA_PIN]]*$W16,)</f>
        <v>0</v>
      </c>
      <c r="AZ16" s="1">
        <v>3</v>
      </c>
      <c r="BA16" s="1">
        <v>4</v>
      </c>
      <c r="BB16" s="1">
        <v>4</v>
      </c>
      <c r="BC16" s="1">
        <v>2</v>
      </c>
      <c r="BD16" s="1">
        <v>3</v>
      </c>
      <c r="BE16" s="1">
        <v>4</v>
      </c>
      <c r="BF16" s="1">
        <v>2</v>
      </c>
      <c r="BG16" s="1">
        <v>3</v>
      </c>
      <c r="BH16" s="1">
        <v>4</v>
      </c>
      <c r="BI16" s="1">
        <v>2</v>
      </c>
      <c r="BJ16" s="1">
        <v>4</v>
      </c>
      <c r="BK16" s="1">
        <v>4</v>
      </c>
      <c r="BL16" s="1">
        <v>4</v>
      </c>
    </row>
    <row r="17" spans="1:64" x14ac:dyDescent="0.35">
      <c r="A17" t="s">
        <v>12</v>
      </c>
      <c r="B17" t="s">
        <v>673</v>
      </c>
      <c r="C17" t="s">
        <v>13</v>
      </c>
      <c r="D17" t="s">
        <v>571</v>
      </c>
      <c r="E17" t="s">
        <v>685</v>
      </c>
      <c r="F17" t="s">
        <v>572</v>
      </c>
      <c r="G17" t="s">
        <v>571</v>
      </c>
      <c r="H17" s="1">
        <v>0</v>
      </c>
      <c r="I17" s="1" t="s">
        <v>665</v>
      </c>
      <c r="J17" s="1">
        <v>6796</v>
      </c>
      <c r="K17" s="1">
        <v>1600</v>
      </c>
      <c r="L17" s="1">
        <v>1685.9691550350076</v>
      </c>
      <c r="M17" s="1">
        <v>814.6332421441773</v>
      </c>
      <c r="N17" s="1">
        <v>281</v>
      </c>
      <c r="O17" s="1">
        <v>264.64979264979235</v>
      </c>
      <c r="P17" s="1">
        <v>0</v>
      </c>
      <c r="Q17" s="1">
        <v>2102</v>
      </c>
      <c r="R17" s="1">
        <v>6618.6666666666679</v>
      </c>
      <c r="S17" s="1">
        <v>1272.4000000000001</v>
      </c>
      <c r="T17" s="1">
        <v>1205</v>
      </c>
      <c r="U17" s="1" t="s">
        <v>665</v>
      </c>
      <c r="V17" s="3">
        <f>_xlfn.XLOOKUP(Table2[[#This Row],[admin3Pcode]],'Inter-sector dataset'!F:F,'Inter-sector dataset'!Q:Q)</f>
        <v>0</v>
      </c>
      <c r="W17" s="3">
        <f>_xlfn.XLOOKUP(Table2[[#This Row],[admin3Pcode]],'Inter-sector dataset'!F:F,'Inter-sector dataset'!R:R)</f>
        <v>0</v>
      </c>
      <c r="X17" s="1">
        <f>IFERROR(Table2[[#This Row],[Health_PIN]]*$V17,)</f>
        <v>0</v>
      </c>
      <c r="Y17" s="1">
        <f>IFERROR(Table2[[#This Row],[CCCM_PIN]]*$V17,)</f>
        <v>0</v>
      </c>
      <c r="Z17" s="1">
        <f>IFERROR(Table2[[#This Row],[ERL_PIN]]*$V17,)</f>
        <v>0</v>
      </c>
      <c r="AA17" s="1">
        <f>IFERROR(Table2[[#This Row],[NFI_PIN]]*$V17,)</f>
        <v>0</v>
      </c>
      <c r="AB17" s="1">
        <f>IFERROR(Table2[[#This Row],[Nutrition_PIN]]*$V17,)</f>
        <v>0</v>
      </c>
      <c r="AC17" s="1">
        <f>IFERROR(Table2[[#This Row],[Education_PIN]]*$V17,)</f>
        <v>0</v>
      </c>
      <c r="AD17" s="1">
        <f>IFERROR(Table2[[#This Row],[Shelter_PIN]]*$V17,)</f>
        <v>0</v>
      </c>
      <c r="AE17" s="1">
        <f>IFERROR(Table2[[#This Row],[WASH_PIN]]*$V17,)</f>
        <v>0</v>
      </c>
      <c r="AF17" s="1">
        <f>IFERROR(Table2[[#This Row],[WASH_acute_PIN]]*$V17,)</f>
        <v>0</v>
      </c>
      <c r="AG17" s="1">
        <f>IFERROR(Table2[[#This Row],[Protection_PIN]]*$V17,)</f>
        <v>0</v>
      </c>
      <c r="AH17" s="1">
        <f>IFERROR(Table2[[#This Row],[Food_PIN]]*$V17,)</f>
        <v>0</v>
      </c>
      <c r="AI17" s="1">
        <f>IFERROR(Table2[[#This Row],[Protection_CP_PIN]]*$V17,)</f>
        <v>0</v>
      </c>
      <c r="AJ17" s="1">
        <f>IFERROR(Table2[[#This Row],[Protection_GBV_PIN]]*$V17,)</f>
        <v>0</v>
      </c>
      <c r="AK17" s="1">
        <f>IFERROR(Table2[[#This Row],[Protection_MA_PIN]]*$V17,)</f>
        <v>0</v>
      </c>
      <c r="AL17" s="1">
        <f>IFERROR(Table2[[#This Row],[Health_PIN]]*$W17,)</f>
        <v>0</v>
      </c>
      <c r="AM17" s="1">
        <f>IFERROR(Table2[[#This Row],[CCCM_PIN]]*$W17,)</f>
        <v>0</v>
      </c>
      <c r="AN17" s="1">
        <f>IFERROR(Table2[[#This Row],[ERL_PIN]]*$W17,)</f>
        <v>0</v>
      </c>
      <c r="AO17" s="1">
        <f>IFERROR(Table2[[#This Row],[NFI_PIN]]*$W17,)</f>
        <v>0</v>
      </c>
      <c r="AP17" s="1">
        <f>IFERROR(Table2[[#This Row],[Nutrition_PIN]]*$W17,)</f>
        <v>0</v>
      </c>
      <c r="AQ17" s="1">
        <f>IFERROR(Table2[[#This Row],[Education_PIN]]*$W17,)</f>
        <v>0</v>
      </c>
      <c r="AR17" s="1">
        <f>IFERROR(Table2[[#This Row],[Shelter_PIN]]*$W17,)</f>
        <v>0</v>
      </c>
      <c r="AS17" s="1">
        <f>IFERROR(Table2[[#This Row],[WASH_PIN]]*$W17,)</f>
        <v>0</v>
      </c>
      <c r="AT17" s="1">
        <f>IFERROR(Table2[[#This Row],[WASH_acute_PIN]]*$W17,)</f>
        <v>0</v>
      </c>
      <c r="AU17" s="1">
        <f>IFERROR(Table2[[#This Row],[Protection_PIN]]*$W17,)</f>
        <v>0</v>
      </c>
      <c r="AV17" s="1">
        <f>IFERROR(Table2[[#This Row],[Food_PIN]]*$W17,)</f>
        <v>0</v>
      </c>
      <c r="AW17" s="1">
        <f>IFERROR(Table2[[#This Row],[Protection_CP_PIN]]*$W17,)</f>
        <v>0</v>
      </c>
      <c r="AX17" s="1">
        <f>IFERROR(Table2[[#This Row],[Protection_GBV_PIN]]*$W17,)</f>
        <v>0</v>
      </c>
      <c r="AY17" s="1">
        <f>IFERROR(Table2[[#This Row],[Protection_MA_PIN]]*$W17,)</f>
        <v>0</v>
      </c>
      <c r="AZ17" s="1">
        <v>2</v>
      </c>
      <c r="BA17" s="1">
        <v>3</v>
      </c>
      <c r="BB17" s="1">
        <v>4</v>
      </c>
      <c r="BC17" s="1">
        <v>3</v>
      </c>
      <c r="BD17" s="1">
        <v>3</v>
      </c>
      <c r="BE17" s="1">
        <v>2</v>
      </c>
      <c r="BF17" s="1">
        <v>2</v>
      </c>
      <c r="BG17" s="1">
        <v>3</v>
      </c>
      <c r="BH17" s="1">
        <v>2</v>
      </c>
      <c r="BI17" s="1">
        <v>2</v>
      </c>
      <c r="BJ17" s="1">
        <v>4</v>
      </c>
      <c r="BK17" s="1" t="s">
        <v>665</v>
      </c>
      <c r="BL17" s="1">
        <v>2</v>
      </c>
    </row>
    <row r="18" spans="1:64" x14ac:dyDescent="0.35">
      <c r="A18" t="s">
        <v>6</v>
      </c>
      <c r="B18" t="s">
        <v>667</v>
      </c>
      <c r="C18" t="s">
        <v>7</v>
      </c>
      <c r="D18" t="s">
        <v>563</v>
      </c>
      <c r="E18" t="s">
        <v>686</v>
      </c>
      <c r="F18" t="s">
        <v>564</v>
      </c>
      <c r="G18" t="s">
        <v>563</v>
      </c>
      <c r="H18" s="1">
        <v>0</v>
      </c>
      <c r="I18" s="1" t="s">
        <v>665</v>
      </c>
      <c r="J18" s="1">
        <v>6860</v>
      </c>
      <c r="K18" s="1">
        <v>1560</v>
      </c>
      <c r="L18" s="1">
        <v>1801.3067707941768</v>
      </c>
      <c r="M18" s="1">
        <v>299.9602255539051</v>
      </c>
      <c r="N18" s="1">
        <v>0</v>
      </c>
      <c r="O18" s="1">
        <v>267.21497033318127</v>
      </c>
      <c r="P18" s="1">
        <v>0</v>
      </c>
      <c r="Q18" s="1">
        <v>2340</v>
      </c>
      <c r="R18" s="1">
        <v>2504.5871559633033</v>
      </c>
      <c r="S18" s="1">
        <v>1099.2</v>
      </c>
      <c r="T18" s="1">
        <v>1296</v>
      </c>
      <c r="U18" s="1" t="s">
        <v>665</v>
      </c>
      <c r="V18" s="3">
        <f>_xlfn.XLOOKUP(Table2[[#This Row],[admin3Pcode]],'Inter-sector dataset'!F:F,'Inter-sector dataset'!Q:Q)</f>
        <v>0</v>
      </c>
      <c r="W18" s="3">
        <f>_xlfn.XLOOKUP(Table2[[#This Row],[admin3Pcode]],'Inter-sector dataset'!F:F,'Inter-sector dataset'!R:R)</f>
        <v>0</v>
      </c>
      <c r="X18" s="1">
        <f>IFERROR(Table2[[#This Row],[Health_PIN]]*$V18,)</f>
        <v>0</v>
      </c>
      <c r="Y18" s="1">
        <f>IFERROR(Table2[[#This Row],[CCCM_PIN]]*$V18,)</f>
        <v>0</v>
      </c>
      <c r="Z18" s="1">
        <f>IFERROR(Table2[[#This Row],[ERL_PIN]]*$V18,)</f>
        <v>0</v>
      </c>
      <c r="AA18" s="1">
        <f>IFERROR(Table2[[#This Row],[NFI_PIN]]*$V18,)</f>
        <v>0</v>
      </c>
      <c r="AB18" s="1">
        <f>IFERROR(Table2[[#This Row],[Nutrition_PIN]]*$V18,)</f>
        <v>0</v>
      </c>
      <c r="AC18" s="1">
        <f>IFERROR(Table2[[#This Row],[Education_PIN]]*$V18,)</f>
        <v>0</v>
      </c>
      <c r="AD18" s="1">
        <f>IFERROR(Table2[[#This Row],[Shelter_PIN]]*$V18,)</f>
        <v>0</v>
      </c>
      <c r="AE18" s="1">
        <f>IFERROR(Table2[[#This Row],[WASH_PIN]]*$V18,)</f>
        <v>0</v>
      </c>
      <c r="AF18" s="1">
        <f>IFERROR(Table2[[#This Row],[WASH_acute_PIN]]*$V18,)</f>
        <v>0</v>
      </c>
      <c r="AG18" s="1">
        <f>IFERROR(Table2[[#This Row],[Protection_PIN]]*$V18,)</f>
        <v>0</v>
      </c>
      <c r="AH18" s="1">
        <f>IFERROR(Table2[[#This Row],[Food_PIN]]*$V18,)</f>
        <v>0</v>
      </c>
      <c r="AI18" s="1">
        <f>IFERROR(Table2[[#This Row],[Protection_CP_PIN]]*$V18,)</f>
        <v>0</v>
      </c>
      <c r="AJ18" s="1">
        <f>IFERROR(Table2[[#This Row],[Protection_GBV_PIN]]*$V18,)</f>
        <v>0</v>
      </c>
      <c r="AK18" s="1">
        <f>IFERROR(Table2[[#This Row],[Protection_MA_PIN]]*$V18,)</f>
        <v>0</v>
      </c>
      <c r="AL18" s="1">
        <f>IFERROR(Table2[[#This Row],[Health_PIN]]*$W18,)</f>
        <v>0</v>
      </c>
      <c r="AM18" s="1">
        <f>IFERROR(Table2[[#This Row],[CCCM_PIN]]*$W18,)</f>
        <v>0</v>
      </c>
      <c r="AN18" s="1">
        <f>IFERROR(Table2[[#This Row],[ERL_PIN]]*$W18,)</f>
        <v>0</v>
      </c>
      <c r="AO18" s="1">
        <f>IFERROR(Table2[[#This Row],[NFI_PIN]]*$W18,)</f>
        <v>0</v>
      </c>
      <c r="AP18" s="1">
        <f>IFERROR(Table2[[#This Row],[Nutrition_PIN]]*$W18,)</f>
        <v>0</v>
      </c>
      <c r="AQ18" s="1">
        <f>IFERROR(Table2[[#This Row],[Education_PIN]]*$W18,)</f>
        <v>0</v>
      </c>
      <c r="AR18" s="1">
        <f>IFERROR(Table2[[#This Row],[Shelter_PIN]]*$W18,)</f>
        <v>0</v>
      </c>
      <c r="AS18" s="1">
        <f>IFERROR(Table2[[#This Row],[WASH_PIN]]*$W18,)</f>
        <v>0</v>
      </c>
      <c r="AT18" s="1">
        <f>IFERROR(Table2[[#This Row],[WASH_acute_PIN]]*$W18,)</f>
        <v>0</v>
      </c>
      <c r="AU18" s="1">
        <f>IFERROR(Table2[[#This Row],[Protection_PIN]]*$W18,)</f>
        <v>0</v>
      </c>
      <c r="AV18" s="1">
        <f>IFERROR(Table2[[#This Row],[Food_PIN]]*$W18,)</f>
        <v>0</v>
      </c>
      <c r="AW18" s="1">
        <f>IFERROR(Table2[[#This Row],[Protection_CP_PIN]]*$W18,)</f>
        <v>0</v>
      </c>
      <c r="AX18" s="1">
        <f>IFERROR(Table2[[#This Row],[Protection_GBV_PIN]]*$W18,)</f>
        <v>0</v>
      </c>
      <c r="AY18" s="1">
        <f>IFERROR(Table2[[#This Row],[Protection_MA_PIN]]*$W18,)</f>
        <v>0</v>
      </c>
      <c r="AZ18" s="1">
        <v>1</v>
      </c>
      <c r="BA18" s="1">
        <v>4</v>
      </c>
      <c r="BB18" s="1">
        <v>4</v>
      </c>
      <c r="BC18" s="1">
        <v>2</v>
      </c>
      <c r="BD18" s="1">
        <v>3</v>
      </c>
      <c r="BE18" s="1">
        <v>2</v>
      </c>
      <c r="BF18" s="1">
        <v>2</v>
      </c>
      <c r="BG18" s="1">
        <v>3</v>
      </c>
      <c r="BH18" s="1">
        <v>2</v>
      </c>
      <c r="BI18" s="1">
        <v>2</v>
      </c>
      <c r="BJ18" s="1">
        <v>3</v>
      </c>
      <c r="BK18" s="1" t="s">
        <v>665</v>
      </c>
      <c r="BL18" s="1">
        <v>2</v>
      </c>
    </row>
    <row r="19" spans="1:64" x14ac:dyDescent="0.35">
      <c r="A19" t="s">
        <v>6</v>
      </c>
      <c r="B19" t="s">
        <v>667</v>
      </c>
      <c r="C19" t="s">
        <v>7</v>
      </c>
      <c r="D19" t="s">
        <v>553</v>
      </c>
      <c r="E19" t="s">
        <v>687</v>
      </c>
      <c r="F19" t="s">
        <v>554</v>
      </c>
      <c r="G19" t="s">
        <v>553</v>
      </c>
      <c r="H19" s="1">
        <v>0</v>
      </c>
      <c r="I19" s="1" t="s">
        <v>665</v>
      </c>
      <c r="J19" s="1">
        <v>7003</v>
      </c>
      <c r="K19" s="1">
        <v>0</v>
      </c>
      <c r="L19" s="1">
        <v>1753.4384834134542</v>
      </c>
      <c r="M19" s="1">
        <v>1979.35</v>
      </c>
      <c r="N19" s="1">
        <v>946</v>
      </c>
      <c r="O19" s="1">
        <v>3327.8166288413172</v>
      </c>
      <c r="P19" s="1">
        <v>0</v>
      </c>
      <c r="Q19" s="1">
        <v>2469</v>
      </c>
      <c r="R19" s="1">
        <v>5410.4629629629635</v>
      </c>
      <c r="S19" s="1">
        <v>1131.2</v>
      </c>
      <c r="T19" s="1">
        <v>1312</v>
      </c>
      <c r="U19" s="1" t="s">
        <v>665</v>
      </c>
      <c r="V19" s="3">
        <f>_xlfn.XLOOKUP(Table2[[#This Row],[admin3Pcode]],'Inter-sector dataset'!F:F,'Inter-sector dataset'!Q:Q)</f>
        <v>0</v>
      </c>
      <c r="W19" s="3">
        <f>_xlfn.XLOOKUP(Table2[[#This Row],[admin3Pcode]],'Inter-sector dataset'!F:F,'Inter-sector dataset'!R:R)</f>
        <v>0</v>
      </c>
      <c r="X19" s="1">
        <f>IFERROR(Table2[[#This Row],[Health_PIN]]*$V19,)</f>
        <v>0</v>
      </c>
      <c r="Y19" s="1">
        <f>IFERROR(Table2[[#This Row],[CCCM_PIN]]*$V19,)</f>
        <v>0</v>
      </c>
      <c r="Z19" s="1">
        <f>IFERROR(Table2[[#This Row],[ERL_PIN]]*$V19,)</f>
        <v>0</v>
      </c>
      <c r="AA19" s="1">
        <f>IFERROR(Table2[[#This Row],[NFI_PIN]]*$V19,)</f>
        <v>0</v>
      </c>
      <c r="AB19" s="1">
        <f>IFERROR(Table2[[#This Row],[Nutrition_PIN]]*$V19,)</f>
        <v>0</v>
      </c>
      <c r="AC19" s="1">
        <f>IFERROR(Table2[[#This Row],[Education_PIN]]*$V19,)</f>
        <v>0</v>
      </c>
      <c r="AD19" s="1">
        <f>IFERROR(Table2[[#This Row],[Shelter_PIN]]*$V19,)</f>
        <v>0</v>
      </c>
      <c r="AE19" s="1">
        <f>IFERROR(Table2[[#This Row],[WASH_PIN]]*$V19,)</f>
        <v>0</v>
      </c>
      <c r="AF19" s="1">
        <f>IFERROR(Table2[[#This Row],[WASH_acute_PIN]]*$V19,)</f>
        <v>0</v>
      </c>
      <c r="AG19" s="1">
        <f>IFERROR(Table2[[#This Row],[Protection_PIN]]*$V19,)</f>
        <v>0</v>
      </c>
      <c r="AH19" s="1">
        <f>IFERROR(Table2[[#This Row],[Food_PIN]]*$V19,)</f>
        <v>0</v>
      </c>
      <c r="AI19" s="1">
        <f>IFERROR(Table2[[#This Row],[Protection_CP_PIN]]*$V19,)</f>
        <v>0</v>
      </c>
      <c r="AJ19" s="1">
        <f>IFERROR(Table2[[#This Row],[Protection_GBV_PIN]]*$V19,)</f>
        <v>0</v>
      </c>
      <c r="AK19" s="1">
        <f>IFERROR(Table2[[#This Row],[Protection_MA_PIN]]*$V19,)</f>
        <v>0</v>
      </c>
      <c r="AL19" s="1">
        <f>IFERROR(Table2[[#This Row],[Health_PIN]]*$W19,)</f>
        <v>0</v>
      </c>
      <c r="AM19" s="1">
        <f>IFERROR(Table2[[#This Row],[CCCM_PIN]]*$W19,)</f>
        <v>0</v>
      </c>
      <c r="AN19" s="1">
        <f>IFERROR(Table2[[#This Row],[ERL_PIN]]*$W19,)</f>
        <v>0</v>
      </c>
      <c r="AO19" s="1">
        <f>IFERROR(Table2[[#This Row],[NFI_PIN]]*$W19,)</f>
        <v>0</v>
      </c>
      <c r="AP19" s="1">
        <f>IFERROR(Table2[[#This Row],[Nutrition_PIN]]*$W19,)</f>
        <v>0</v>
      </c>
      <c r="AQ19" s="1">
        <f>IFERROR(Table2[[#This Row],[Education_PIN]]*$W19,)</f>
        <v>0</v>
      </c>
      <c r="AR19" s="1">
        <f>IFERROR(Table2[[#This Row],[Shelter_PIN]]*$W19,)</f>
        <v>0</v>
      </c>
      <c r="AS19" s="1">
        <f>IFERROR(Table2[[#This Row],[WASH_PIN]]*$W19,)</f>
        <v>0</v>
      </c>
      <c r="AT19" s="1">
        <f>IFERROR(Table2[[#This Row],[WASH_acute_PIN]]*$W19,)</f>
        <v>0</v>
      </c>
      <c r="AU19" s="1">
        <f>IFERROR(Table2[[#This Row],[Protection_PIN]]*$W19,)</f>
        <v>0</v>
      </c>
      <c r="AV19" s="1">
        <f>IFERROR(Table2[[#This Row],[Food_PIN]]*$W19,)</f>
        <v>0</v>
      </c>
      <c r="AW19" s="1">
        <f>IFERROR(Table2[[#This Row],[Protection_CP_PIN]]*$W19,)</f>
        <v>0</v>
      </c>
      <c r="AX19" s="1">
        <f>IFERROR(Table2[[#This Row],[Protection_GBV_PIN]]*$W19,)</f>
        <v>0</v>
      </c>
      <c r="AY19" s="1">
        <f>IFERROR(Table2[[#This Row],[Protection_MA_PIN]]*$W19,)</f>
        <v>0</v>
      </c>
      <c r="AZ19" s="1">
        <v>2</v>
      </c>
      <c r="BA19" s="1">
        <v>3</v>
      </c>
      <c r="BB19" s="1">
        <v>4</v>
      </c>
      <c r="BC19" s="1">
        <v>1</v>
      </c>
      <c r="BD19" s="1">
        <v>3</v>
      </c>
      <c r="BE19" s="1">
        <v>2</v>
      </c>
      <c r="BF19" s="1">
        <v>2</v>
      </c>
      <c r="BG19" s="1">
        <v>3</v>
      </c>
      <c r="BH19" s="1">
        <v>2</v>
      </c>
      <c r="BI19" s="1">
        <v>2</v>
      </c>
      <c r="BJ19" s="1">
        <v>3</v>
      </c>
      <c r="BK19" s="1" t="s">
        <v>665</v>
      </c>
      <c r="BL19" s="1">
        <v>3</v>
      </c>
    </row>
    <row r="20" spans="1:64" x14ac:dyDescent="0.35">
      <c r="A20" t="s">
        <v>12</v>
      </c>
      <c r="B20" t="s">
        <v>673</v>
      </c>
      <c r="C20" t="s">
        <v>13</v>
      </c>
      <c r="D20" t="s">
        <v>555</v>
      </c>
      <c r="E20" t="s">
        <v>688</v>
      </c>
      <c r="F20" t="s">
        <v>556</v>
      </c>
      <c r="G20" t="s">
        <v>689</v>
      </c>
      <c r="H20" s="1">
        <v>0</v>
      </c>
      <c r="I20" s="1" t="s">
        <v>665</v>
      </c>
      <c r="J20" s="1">
        <v>9031</v>
      </c>
      <c r="K20" s="1">
        <v>2125</v>
      </c>
      <c r="L20" s="1">
        <v>1675.6708608740005</v>
      </c>
      <c r="M20" s="1">
        <v>3113.4333333333334</v>
      </c>
      <c r="N20" s="1">
        <v>331</v>
      </c>
      <c r="O20" s="1">
        <v>1885.4410324039181</v>
      </c>
      <c r="P20" s="1">
        <v>89</v>
      </c>
      <c r="Q20" s="1">
        <v>3188</v>
      </c>
      <c r="R20" s="1">
        <v>8166.2777777777774</v>
      </c>
      <c r="S20" s="1">
        <v>1378.8000000000002</v>
      </c>
      <c r="T20" s="1">
        <v>1475</v>
      </c>
      <c r="U20" s="1" t="s">
        <v>665</v>
      </c>
      <c r="V20" s="3">
        <f>_xlfn.XLOOKUP(Table2[[#This Row],[admin3Pcode]],'Inter-sector dataset'!F:F,'Inter-sector dataset'!Q:Q)</f>
        <v>0</v>
      </c>
      <c r="W20" s="3">
        <f>_xlfn.XLOOKUP(Table2[[#This Row],[admin3Pcode]],'Inter-sector dataset'!F:F,'Inter-sector dataset'!R:R)</f>
        <v>0</v>
      </c>
      <c r="X20" s="1">
        <f>IFERROR(Table2[[#This Row],[Health_PIN]]*$V20,)</f>
        <v>0</v>
      </c>
      <c r="Y20" s="1">
        <f>IFERROR(Table2[[#This Row],[CCCM_PIN]]*$V20,)</f>
        <v>0</v>
      </c>
      <c r="Z20" s="1">
        <f>IFERROR(Table2[[#This Row],[ERL_PIN]]*$V20,)</f>
        <v>0</v>
      </c>
      <c r="AA20" s="1">
        <f>IFERROR(Table2[[#This Row],[NFI_PIN]]*$V20,)</f>
        <v>0</v>
      </c>
      <c r="AB20" s="1">
        <f>IFERROR(Table2[[#This Row],[Nutrition_PIN]]*$V20,)</f>
        <v>0</v>
      </c>
      <c r="AC20" s="1">
        <f>IFERROR(Table2[[#This Row],[Education_PIN]]*$V20,)</f>
        <v>0</v>
      </c>
      <c r="AD20" s="1">
        <f>IFERROR(Table2[[#This Row],[Shelter_PIN]]*$V20,)</f>
        <v>0</v>
      </c>
      <c r="AE20" s="1">
        <f>IFERROR(Table2[[#This Row],[WASH_PIN]]*$V20,)</f>
        <v>0</v>
      </c>
      <c r="AF20" s="1">
        <f>IFERROR(Table2[[#This Row],[WASH_acute_PIN]]*$V20,)</f>
        <v>0</v>
      </c>
      <c r="AG20" s="1">
        <f>IFERROR(Table2[[#This Row],[Protection_PIN]]*$V20,)</f>
        <v>0</v>
      </c>
      <c r="AH20" s="1">
        <f>IFERROR(Table2[[#This Row],[Food_PIN]]*$V20,)</f>
        <v>0</v>
      </c>
      <c r="AI20" s="1">
        <f>IFERROR(Table2[[#This Row],[Protection_CP_PIN]]*$V20,)</f>
        <v>0</v>
      </c>
      <c r="AJ20" s="1">
        <f>IFERROR(Table2[[#This Row],[Protection_GBV_PIN]]*$V20,)</f>
        <v>0</v>
      </c>
      <c r="AK20" s="1">
        <f>IFERROR(Table2[[#This Row],[Protection_MA_PIN]]*$V20,)</f>
        <v>0</v>
      </c>
      <c r="AL20" s="1">
        <f>IFERROR(Table2[[#This Row],[Health_PIN]]*$W20,)</f>
        <v>0</v>
      </c>
      <c r="AM20" s="1">
        <f>IFERROR(Table2[[#This Row],[CCCM_PIN]]*$W20,)</f>
        <v>0</v>
      </c>
      <c r="AN20" s="1">
        <f>IFERROR(Table2[[#This Row],[ERL_PIN]]*$W20,)</f>
        <v>0</v>
      </c>
      <c r="AO20" s="1">
        <f>IFERROR(Table2[[#This Row],[NFI_PIN]]*$W20,)</f>
        <v>0</v>
      </c>
      <c r="AP20" s="1">
        <f>IFERROR(Table2[[#This Row],[Nutrition_PIN]]*$W20,)</f>
        <v>0</v>
      </c>
      <c r="AQ20" s="1">
        <f>IFERROR(Table2[[#This Row],[Education_PIN]]*$W20,)</f>
        <v>0</v>
      </c>
      <c r="AR20" s="1">
        <f>IFERROR(Table2[[#This Row],[Shelter_PIN]]*$W20,)</f>
        <v>0</v>
      </c>
      <c r="AS20" s="1">
        <f>IFERROR(Table2[[#This Row],[WASH_PIN]]*$W20,)</f>
        <v>0</v>
      </c>
      <c r="AT20" s="1">
        <f>IFERROR(Table2[[#This Row],[WASH_acute_PIN]]*$W20,)</f>
        <v>0</v>
      </c>
      <c r="AU20" s="1">
        <f>IFERROR(Table2[[#This Row],[Protection_PIN]]*$W20,)</f>
        <v>0</v>
      </c>
      <c r="AV20" s="1">
        <f>IFERROR(Table2[[#This Row],[Food_PIN]]*$W20,)</f>
        <v>0</v>
      </c>
      <c r="AW20" s="1">
        <f>IFERROR(Table2[[#This Row],[Protection_CP_PIN]]*$W20,)</f>
        <v>0</v>
      </c>
      <c r="AX20" s="1">
        <f>IFERROR(Table2[[#This Row],[Protection_GBV_PIN]]*$W20,)</f>
        <v>0</v>
      </c>
      <c r="AY20" s="1">
        <f>IFERROR(Table2[[#This Row],[Protection_MA_PIN]]*$W20,)</f>
        <v>0</v>
      </c>
      <c r="AZ20" s="1">
        <v>2</v>
      </c>
      <c r="BA20" s="1">
        <v>4</v>
      </c>
      <c r="BB20" s="1">
        <v>4</v>
      </c>
      <c r="BC20" s="1">
        <v>2</v>
      </c>
      <c r="BD20" s="1">
        <v>3</v>
      </c>
      <c r="BE20" s="1">
        <v>2</v>
      </c>
      <c r="BF20" s="1">
        <v>2</v>
      </c>
      <c r="BG20" s="1">
        <v>3</v>
      </c>
      <c r="BH20" s="1">
        <v>2</v>
      </c>
      <c r="BI20" s="1">
        <v>2</v>
      </c>
      <c r="BJ20" s="1">
        <v>4</v>
      </c>
      <c r="BK20" s="1" t="s">
        <v>665</v>
      </c>
      <c r="BL20" s="1">
        <v>2</v>
      </c>
    </row>
    <row r="21" spans="1:64" x14ac:dyDescent="0.35">
      <c r="A21" t="s">
        <v>6</v>
      </c>
      <c r="B21" t="s">
        <v>667</v>
      </c>
      <c r="C21" t="s">
        <v>7</v>
      </c>
      <c r="D21" t="s">
        <v>540</v>
      </c>
      <c r="E21" t="s">
        <v>690</v>
      </c>
      <c r="F21" t="s">
        <v>541</v>
      </c>
      <c r="G21" t="s">
        <v>540</v>
      </c>
      <c r="H21" s="1">
        <v>0</v>
      </c>
      <c r="I21" s="1" t="s">
        <v>665</v>
      </c>
      <c r="J21" s="1">
        <v>9701</v>
      </c>
      <c r="K21" s="1">
        <v>947</v>
      </c>
      <c r="L21" s="1">
        <v>1998.2046981091896</v>
      </c>
      <c r="M21" s="1">
        <v>3327.85</v>
      </c>
      <c r="N21" s="1">
        <v>0</v>
      </c>
      <c r="O21" s="1">
        <v>324.17295761204366</v>
      </c>
      <c r="P21" s="1">
        <v>0</v>
      </c>
      <c r="Q21" s="1">
        <v>3195</v>
      </c>
      <c r="R21" s="1">
        <v>4043.0555555555547</v>
      </c>
      <c r="S21" s="1">
        <v>1610</v>
      </c>
      <c r="T21" s="1">
        <v>1719</v>
      </c>
      <c r="U21" s="1" t="s">
        <v>665</v>
      </c>
      <c r="V21" s="3">
        <f>_xlfn.XLOOKUP(Table2[[#This Row],[admin3Pcode]],'Inter-sector dataset'!F:F,'Inter-sector dataset'!Q:Q)</f>
        <v>0</v>
      </c>
      <c r="W21" s="3">
        <f>_xlfn.XLOOKUP(Table2[[#This Row],[admin3Pcode]],'Inter-sector dataset'!F:F,'Inter-sector dataset'!R:R)</f>
        <v>0</v>
      </c>
      <c r="X21" s="1">
        <f>IFERROR(Table2[[#This Row],[Health_PIN]]*$V21,)</f>
        <v>0</v>
      </c>
      <c r="Y21" s="1">
        <f>IFERROR(Table2[[#This Row],[CCCM_PIN]]*$V21,)</f>
        <v>0</v>
      </c>
      <c r="Z21" s="1">
        <f>IFERROR(Table2[[#This Row],[ERL_PIN]]*$V21,)</f>
        <v>0</v>
      </c>
      <c r="AA21" s="1">
        <f>IFERROR(Table2[[#This Row],[NFI_PIN]]*$V21,)</f>
        <v>0</v>
      </c>
      <c r="AB21" s="1">
        <f>IFERROR(Table2[[#This Row],[Nutrition_PIN]]*$V21,)</f>
        <v>0</v>
      </c>
      <c r="AC21" s="1">
        <f>IFERROR(Table2[[#This Row],[Education_PIN]]*$V21,)</f>
        <v>0</v>
      </c>
      <c r="AD21" s="1">
        <f>IFERROR(Table2[[#This Row],[Shelter_PIN]]*$V21,)</f>
        <v>0</v>
      </c>
      <c r="AE21" s="1">
        <f>IFERROR(Table2[[#This Row],[WASH_PIN]]*$V21,)</f>
        <v>0</v>
      </c>
      <c r="AF21" s="1">
        <f>IFERROR(Table2[[#This Row],[WASH_acute_PIN]]*$V21,)</f>
        <v>0</v>
      </c>
      <c r="AG21" s="1">
        <f>IFERROR(Table2[[#This Row],[Protection_PIN]]*$V21,)</f>
        <v>0</v>
      </c>
      <c r="AH21" s="1">
        <f>IFERROR(Table2[[#This Row],[Food_PIN]]*$V21,)</f>
        <v>0</v>
      </c>
      <c r="AI21" s="1">
        <f>IFERROR(Table2[[#This Row],[Protection_CP_PIN]]*$V21,)</f>
        <v>0</v>
      </c>
      <c r="AJ21" s="1">
        <f>IFERROR(Table2[[#This Row],[Protection_GBV_PIN]]*$V21,)</f>
        <v>0</v>
      </c>
      <c r="AK21" s="1">
        <f>IFERROR(Table2[[#This Row],[Protection_MA_PIN]]*$V21,)</f>
        <v>0</v>
      </c>
      <c r="AL21" s="1">
        <f>IFERROR(Table2[[#This Row],[Health_PIN]]*$W21,)</f>
        <v>0</v>
      </c>
      <c r="AM21" s="1">
        <f>IFERROR(Table2[[#This Row],[CCCM_PIN]]*$W21,)</f>
        <v>0</v>
      </c>
      <c r="AN21" s="1">
        <f>IFERROR(Table2[[#This Row],[ERL_PIN]]*$W21,)</f>
        <v>0</v>
      </c>
      <c r="AO21" s="1">
        <f>IFERROR(Table2[[#This Row],[NFI_PIN]]*$W21,)</f>
        <v>0</v>
      </c>
      <c r="AP21" s="1">
        <f>IFERROR(Table2[[#This Row],[Nutrition_PIN]]*$W21,)</f>
        <v>0</v>
      </c>
      <c r="AQ21" s="1">
        <f>IFERROR(Table2[[#This Row],[Education_PIN]]*$W21,)</f>
        <v>0</v>
      </c>
      <c r="AR21" s="1">
        <f>IFERROR(Table2[[#This Row],[Shelter_PIN]]*$W21,)</f>
        <v>0</v>
      </c>
      <c r="AS21" s="1">
        <f>IFERROR(Table2[[#This Row],[WASH_PIN]]*$W21,)</f>
        <v>0</v>
      </c>
      <c r="AT21" s="1">
        <f>IFERROR(Table2[[#This Row],[WASH_acute_PIN]]*$W21,)</f>
        <v>0</v>
      </c>
      <c r="AU21" s="1">
        <f>IFERROR(Table2[[#This Row],[Protection_PIN]]*$W21,)</f>
        <v>0</v>
      </c>
      <c r="AV21" s="1">
        <f>IFERROR(Table2[[#This Row],[Food_PIN]]*$W21,)</f>
        <v>0</v>
      </c>
      <c r="AW21" s="1">
        <f>IFERROR(Table2[[#This Row],[Protection_CP_PIN]]*$W21,)</f>
        <v>0</v>
      </c>
      <c r="AX21" s="1">
        <f>IFERROR(Table2[[#This Row],[Protection_GBV_PIN]]*$W21,)</f>
        <v>0</v>
      </c>
      <c r="AY21" s="1">
        <f>IFERROR(Table2[[#This Row],[Protection_MA_PIN]]*$W21,)</f>
        <v>0</v>
      </c>
      <c r="AZ21" s="1">
        <v>1</v>
      </c>
      <c r="BA21" s="1">
        <v>3</v>
      </c>
      <c r="BB21" s="1">
        <v>4</v>
      </c>
      <c r="BC21" s="1">
        <v>2</v>
      </c>
      <c r="BD21" s="1">
        <v>3</v>
      </c>
      <c r="BE21" s="1">
        <v>2</v>
      </c>
      <c r="BF21" s="1">
        <v>2</v>
      </c>
      <c r="BG21" s="1">
        <v>3</v>
      </c>
      <c r="BH21" s="1">
        <v>2</v>
      </c>
      <c r="BI21" s="1">
        <v>2</v>
      </c>
      <c r="BJ21" s="1">
        <v>3</v>
      </c>
      <c r="BK21" s="1" t="s">
        <v>665</v>
      </c>
      <c r="BL21" s="1">
        <v>2</v>
      </c>
    </row>
    <row r="22" spans="1:64" x14ac:dyDescent="0.35">
      <c r="A22" t="s">
        <v>12</v>
      </c>
      <c r="B22" t="s">
        <v>673</v>
      </c>
      <c r="C22" t="s">
        <v>13</v>
      </c>
      <c r="D22" t="s">
        <v>543</v>
      </c>
      <c r="E22" t="s">
        <v>691</v>
      </c>
      <c r="F22" t="s">
        <v>544</v>
      </c>
      <c r="G22" t="s">
        <v>543</v>
      </c>
      <c r="H22" s="1">
        <v>0</v>
      </c>
      <c r="I22" s="1" t="s">
        <v>665</v>
      </c>
      <c r="J22" s="1">
        <v>8960</v>
      </c>
      <c r="K22" s="1">
        <v>164</v>
      </c>
      <c r="L22" s="1">
        <v>2547.771779026843</v>
      </c>
      <c r="M22" s="1">
        <v>991.74846287176842</v>
      </c>
      <c r="N22" s="1">
        <v>0</v>
      </c>
      <c r="O22" s="1">
        <v>0</v>
      </c>
      <c r="P22" s="1">
        <v>0</v>
      </c>
      <c r="Q22" s="1">
        <v>3232</v>
      </c>
      <c r="R22" s="1">
        <v>8478.75</v>
      </c>
      <c r="S22" s="1">
        <v>944.90000000000009</v>
      </c>
      <c r="T22" s="1">
        <v>1866</v>
      </c>
      <c r="U22" s="1" t="s">
        <v>665</v>
      </c>
      <c r="V22" s="3">
        <f>_xlfn.XLOOKUP(Table2[[#This Row],[admin3Pcode]],'Inter-sector dataset'!F:F,'Inter-sector dataset'!Q:Q)</f>
        <v>0</v>
      </c>
      <c r="W22" s="3">
        <f>_xlfn.XLOOKUP(Table2[[#This Row],[admin3Pcode]],'Inter-sector dataset'!F:F,'Inter-sector dataset'!R:R)</f>
        <v>0</v>
      </c>
      <c r="X22" s="1">
        <f>IFERROR(Table2[[#This Row],[Health_PIN]]*$V22,)</f>
        <v>0</v>
      </c>
      <c r="Y22" s="1">
        <f>IFERROR(Table2[[#This Row],[CCCM_PIN]]*$V22,)</f>
        <v>0</v>
      </c>
      <c r="Z22" s="1">
        <f>IFERROR(Table2[[#This Row],[ERL_PIN]]*$V22,)</f>
        <v>0</v>
      </c>
      <c r="AA22" s="1">
        <f>IFERROR(Table2[[#This Row],[NFI_PIN]]*$V22,)</f>
        <v>0</v>
      </c>
      <c r="AB22" s="1">
        <f>IFERROR(Table2[[#This Row],[Nutrition_PIN]]*$V22,)</f>
        <v>0</v>
      </c>
      <c r="AC22" s="1">
        <f>IFERROR(Table2[[#This Row],[Education_PIN]]*$V22,)</f>
        <v>0</v>
      </c>
      <c r="AD22" s="1">
        <f>IFERROR(Table2[[#This Row],[Shelter_PIN]]*$V22,)</f>
        <v>0</v>
      </c>
      <c r="AE22" s="1">
        <f>IFERROR(Table2[[#This Row],[WASH_PIN]]*$V22,)</f>
        <v>0</v>
      </c>
      <c r="AF22" s="1">
        <f>IFERROR(Table2[[#This Row],[WASH_acute_PIN]]*$V22,)</f>
        <v>0</v>
      </c>
      <c r="AG22" s="1">
        <f>IFERROR(Table2[[#This Row],[Protection_PIN]]*$V22,)</f>
        <v>0</v>
      </c>
      <c r="AH22" s="1">
        <f>IFERROR(Table2[[#This Row],[Food_PIN]]*$V22,)</f>
        <v>0</v>
      </c>
      <c r="AI22" s="1">
        <f>IFERROR(Table2[[#This Row],[Protection_CP_PIN]]*$V22,)</f>
        <v>0</v>
      </c>
      <c r="AJ22" s="1">
        <f>IFERROR(Table2[[#This Row],[Protection_GBV_PIN]]*$V22,)</f>
        <v>0</v>
      </c>
      <c r="AK22" s="1">
        <f>IFERROR(Table2[[#This Row],[Protection_MA_PIN]]*$V22,)</f>
        <v>0</v>
      </c>
      <c r="AL22" s="1">
        <f>IFERROR(Table2[[#This Row],[Health_PIN]]*$W22,)</f>
        <v>0</v>
      </c>
      <c r="AM22" s="1">
        <f>IFERROR(Table2[[#This Row],[CCCM_PIN]]*$W22,)</f>
        <v>0</v>
      </c>
      <c r="AN22" s="1">
        <f>IFERROR(Table2[[#This Row],[ERL_PIN]]*$W22,)</f>
        <v>0</v>
      </c>
      <c r="AO22" s="1">
        <f>IFERROR(Table2[[#This Row],[NFI_PIN]]*$W22,)</f>
        <v>0</v>
      </c>
      <c r="AP22" s="1">
        <f>IFERROR(Table2[[#This Row],[Nutrition_PIN]]*$W22,)</f>
        <v>0</v>
      </c>
      <c r="AQ22" s="1">
        <f>IFERROR(Table2[[#This Row],[Education_PIN]]*$W22,)</f>
        <v>0</v>
      </c>
      <c r="AR22" s="1">
        <f>IFERROR(Table2[[#This Row],[Shelter_PIN]]*$W22,)</f>
        <v>0</v>
      </c>
      <c r="AS22" s="1">
        <f>IFERROR(Table2[[#This Row],[WASH_PIN]]*$W22,)</f>
        <v>0</v>
      </c>
      <c r="AT22" s="1">
        <f>IFERROR(Table2[[#This Row],[WASH_acute_PIN]]*$W22,)</f>
        <v>0</v>
      </c>
      <c r="AU22" s="1">
        <f>IFERROR(Table2[[#This Row],[Protection_PIN]]*$W22,)</f>
        <v>0</v>
      </c>
      <c r="AV22" s="1">
        <f>IFERROR(Table2[[#This Row],[Food_PIN]]*$W22,)</f>
        <v>0</v>
      </c>
      <c r="AW22" s="1">
        <f>IFERROR(Table2[[#This Row],[Protection_CP_PIN]]*$W22,)</f>
        <v>0</v>
      </c>
      <c r="AX22" s="1">
        <f>IFERROR(Table2[[#This Row],[Protection_GBV_PIN]]*$W22,)</f>
        <v>0</v>
      </c>
      <c r="AY22" s="1">
        <f>IFERROR(Table2[[#This Row],[Protection_MA_PIN]]*$W22,)</f>
        <v>0</v>
      </c>
      <c r="AZ22" s="1">
        <v>1</v>
      </c>
      <c r="BA22" s="1">
        <v>3</v>
      </c>
      <c r="BB22" s="1">
        <v>4</v>
      </c>
      <c r="BC22" s="1">
        <v>2</v>
      </c>
      <c r="BD22" s="1">
        <v>3</v>
      </c>
      <c r="BE22" s="1">
        <v>2</v>
      </c>
      <c r="BF22" s="1">
        <v>2</v>
      </c>
      <c r="BG22" s="1">
        <v>2</v>
      </c>
      <c r="BH22" s="1">
        <v>2</v>
      </c>
      <c r="BI22" s="1">
        <v>2</v>
      </c>
      <c r="BJ22" s="1">
        <v>4</v>
      </c>
      <c r="BK22" s="1" t="s">
        <v>665</v>
      </c>
      <c r="BL22" s="1">
        <v>2</v>
      </c>
    </row>
    <row r="23" spans="1:64" x14ac:dyDescent="0.35">
      <c r="A23" t="s">
        <v>6</v>
      </c>
      <c r="B23" t="s">
        <v>667</v>
      </c>
      <c r="C23" t="s">
        <v>7</v>
      </c>
      <c r="D23" t="s">
        <v>95</v>
      </c>
      <c r="E23" t="s">
        <v>692</v>
      </c>
      <c r="F23" t="s">
        <v>96</v>
      </c>
      <c r="G23" t="s">
        <v>95</v>
      </c>
      <c r="H23" s="1">
        <v>6134.5</v>
      </c>
      <c r="I23" s="1" t="s">
        <v>665</v>
      </c>
      <c r="J23" s="1">
        <v>11184</v>
      </c>
      <c r="K23" s="1">
        <v>453</v>
      </c>
      <c r="L23" s="1">
        <v>2800.0778787818908</v>
      </c>
      <c r="M23" s="1">
        <v>3641.9833333333331</v>
      </c>
      <c r="N23" s="1">
        <v>0</v>
      </c>
      <c r="O23" s="1">
        <v>3249.9160745610434</v>
      </c>
      <c r="P23" s="1">
        <v>0</v>
      </c>
      <c r="Q23" s="1">
        <v>3681</v>
      </c>
      <c r="R23" s="1">
        <v>4998.4814814814808</v>
      </c>
      <c r="S23" s="1">
        <v>1931.2</v>
      </c>
      <c r="T23" s="1">
        <v>2034</v>
      </c>
      <c r="U23" s="1" t="s">
        <v>665</v>
      </c>
      <c r="V23" s="3">
        <f>_xlfn.XLOOKUP(Table2[[#This Row],[admin3Pcode]],'Inter-sector dataset'!F:F,'Inter-sector dataset'!Q:Q)</f>
        <v>0</v>
      </c>
      <c r="W23" s="3">
        <f>_xlfn.XLOOKUP(Table2[[#This Row],[admin3Pcode]],'Inter-sector dataset'!F:F,'Inter-sector dataset'!R:R)</f>
        <v>0</v>
      </c>
      <c r="X23" s="1">
        <f>IFERROR(Table2[[#This Row],[Health_PIN]]*$V23,)</f>
        <v>0</v>
      </c>
      <c r="Y23" s="1">
        <f>IFERROR(Table2[[#This Row],[CCCM_PIN]]*$V23,)</f>
        <v>0</v>
      </c>
      <c r="Z23" s="1">
        <f>IFERROR(Table2[[#This Row],[ERL_PIN]]*$V23,)</f>
        <v>0</v>
      </c>
      <c r="AA23" s="1">
        <f>IFERROR(Table2[[#This Row],[NFI_PIN]]*$V23,)</f>
        <v>0</v>
      </c>
      <c r="AB23" s="1">
        <f>IFERROR(Table2[[#This Row],[Nutrition_PIN]]*$V23,)</f>
        <v>0</v>
      </c>
      <c r="AC23" s="1">
        <f>IFERROR(Table2[[#This Row],[Education_PIN]]*$V23,)</f>
        <v>0</v>
      </c>
      <c r="AD23" s="1">
        <f>IFERROR(Table2[[#This Row],[Shelter_PIN]]*$V23,)</f>
        <v>0</v>
      </c>
      <c r="AE23" s="1">
        <f>IFERROR(Table2[[#This Row],[WASH_PIN]]*$V23,)</f>
        <v>0</v>
      </c>
      <c r="AF23" s="1">
        <f>IFERROR(Table2[[#This Row],[WASH_acute_PIN]]*$V23,)</f>
        <v>0</v>
      </c>
      <c r="AG23" s="1">
        <f>IFERROR(Table2[[#This Row],[Protection_PIN]]*$V23,)</f>
        <v>0</v>
      </c>
      <c r="AH23" s="1">
        <f>IFERROR(Table2[[#This Row],[Food_PIN]]*$V23,)</f>
        <v>0</v>
      </c>
      <c r="AI23" s="1">
        <f>IFERROR(Table2[[#This Row],[Protection_CP_PIN]]*$V23,)</f>
        <v>0</v>
      </c>
      <c r="AJ23" s="1">
        <f>IFERROR(Table2[[#This Row],[Protection_GBV_PIN]]*$V23,)</f>
        <v>0</v>
      </c>
      <c r="AK23" s="1">
        <f>IFERROR(Table2[[#This Row],[Protection_MA_PIN]]*$V23,)</f>
        <v>0</v>
      </c>
      <c r="AL23" s="1">
        <f>IFERROR(Table2[[#This Row],[Health_PIN]]*$W23,)</f>
        <v>0</v>
      </c>
      <c r="AM23" s="1">
        <f>IFERROR(Table2[[#This Row],[CCCM_PIN]]*$W23,)</f>
        <v>0</v>
      </c>
      <c r="AN23" s="1">
        <f>IFERROR(Table2[[#This Row],[ERL_PIN]]*$W23,)</f>
        <v>0</v>
      </c>
      <c r="AO23" s="1">
        <f>IFERROR(Table2[[#This Row],[NFI_PIN]]*$W23,)</f>
        <v>0</v>
      </c>
      <c r="AP23" s="1">
        <f>IFERROR(Table2[[#This Row],[Nutrition_PIN]]*$W23,)</f>
        <v>0</v>
      </c>
      <c r="AQ23" s="1">
        <f>IFERROR(Table2[[#This Row],[Education_PIN]]*$W23,)</f>
        <v>0</v>
      </c>
      <c r="AR23" s="1">
        <f>IFERROR(Table2[[#This Row],[Shelter_PIN]]*$W23,)</f>
        <v>0</v>
      </c>
      <c r="AS23" s="1">
        <f>IFERROR(Table2[[#This Row],[WASH_PIN]]*$W23,)</f>
        <v>0</v>
      </c>
      <c r="AT23" s="1">
        <f>IFERROR(Table2[[#This Row],[WASH_acute_PIN]]*$W23,)</f>
        <v>0</v>
      </c>
      <c r="AU23" s="1">
        <f>IFERROR(Table2[[#This Row],[Protection_PIN]]*$W23,)</f>
        <v>0</v>
      </c>
      <c r="AV23" s="1">
        <f>IFERROR(Table2[[#This Row],[Food_PIN]]*$W23,)</f>
        <v>0</v>
      </c>
      <c r="AW23" s="1">
        <f>IFERROR(Table2[[#This Row],[Protection_CP_PIN]]*$W23,)</f>
        <v>0</v>
      </c>
      <c r="AX23" s="1">
        <f>IFERROR(Table2[[#This Row],[Protection_GBV_PIN]]*$W23,)</f>
        <v>0</v>
      </c>
      <c r="AY23" s="1">
        <f>IFERROR(Table2[[#This Row],[Protection_MA_PIN]]*$W23,)</f>
        <v>0</v>
      </c>
      <c r="AZ23" s="1">
        <v>1</v>
      </c>
      <c r="BA23" s="1">
        <v>3</v>
      </c>
      <c r="BB23" s="1">
        <v>4</v>
      </c>
      <c r="BC23" s="1">
        <v>2</v>
      </c>
      <c r="BD23" s="1">
        <v>3</v>
      </c>
      <c r="BE23" s="1">
        <v>3</v>
      </c>
      <c r="BF23" s="1">
        <v>2</v>
      </c>
      <c r="BG23" s="1">
        <v>3</v>
      </c>
      <c r="BH23" s="1">
        <v>2</v>
      </c>
      <c r="BI23" s="1">
        <v>2</v>
      </c>
      <c r="BJ23" s="1">
        <v>3</v>
      </c>
      <c r="BK23" s="1" t="s">
        <v>665</v>
      </c>
      <c r="BL23" s="1">
        <v>3</v>
      </c>
    </row>
    <row r="24" spans="1:64" x14ac:dyDescent="0.35">
      <c r="A24" t="s">
        <v>12</v>
      </c>
      <c r="B24" t="s">
        <v>673</v>
      </c>
      <c r="C24" t="s">
        <v>13</v>
      </c>
      <c r="D24" t="s">
        <v>44</v>
      </c>
      <c r="E24" t="s">
        <v>693</v>
      </c>
      <c r="F24" t="s">
        <v>45</v>
      </c>
      <c r="G24" t="s">
        <v>44</v>
      </c>
      <c r="H24" s="1">
        <v>0</v>
      </c>
      <c r="I24" s="1" t="s">
        <v>665</v>
      </c>
      <c r="J24" s="1">
        <v>12354</v>
      </c>
      <c r="K24" s="1">
        <v>2919</v>
      </c>
      <c r="L24" s="1">
        <v>2210.0892673285725</v>
      </c>
      <c r="M24" s="1">
        <v>4705.8</v>
      </c>
      <c r="N24" s="1">
        <v>0</v>
      </c>
      <c r="O24" s="1">
        <v>887.64185950979004</v>
      </c>
      <c r="P24" s="1">
        <v>0</v>
      </c>
      <c r="Q24" s="1">
        <v>4379</v>
      </c>
      <c r="R24" s="1">
        <v>6829.321100917432</v>
      </c>
      <c r="S24" s="1">
        <v>2658</v>
      </c>
      <c r="T24" s="1">
        <v>2107</v>
      </c>
      <c r="U24" s="1" t="s">
        <v>665</v>
      </c>
      <c r="V24" s="3">
        <f>_xlfn.XLOOKUP(Table2[[#This Row],[admin3Pcode]],'Inter-sector dataset'!F:F,'Inter-sector dataset'!Q:Q)</f>
        <v>0</v>
      </c>
      <c r="W24" s="3">
        <f>_xlfn.XLOOKUP(Table2[[#This Row],[admin3Pcode]],'Inter-sector dataset'!F:F,'Inter-sector dataset'!R:R)</f>
        <v>0</v>
      </c>
      <c r="X24" s="1">
        <f>IFERROR(Table2[[#This Row],[Health_PIN]]*$V24,)</f>
        <v>0</v>
      </c>
      <c r="Y24" s="1">
        <f>IFERROR(Table2[[#This Row],[CCCM_PIN]]*$V24,)</f>
        <v>0</v>
      </c>
      <c r="Z24" s="1">
        <f>IFERROR(Table2[[#This Row],[ERL_PIN]]*$V24,)</f>
        <v>0</v>
      </c>
      <c r="AA24" s="1">
        <f>IFERROR(Table2[[#This Row],[NFI_PIN]]*$V24,)</f>
        <v>0</v>
      </c>
      <c r="AB24" s="1">
        <f>IFERROR(Table2[[#This Row],[Nutrition_PIN]]*$V24,)</f>
        <v>0</v>
      </c>
      <c r="AC24" s="1">
        <f>IFERROR(Table2[[#This Row],[Education_PIN]]*$V24,)</f>
        <v>0</v>
      </c>
      <c r="AD24" s="1">
        <f>IFERROR(Table2[[#This Row],[Shelter_PIN]]*$V24,)</f>
        <v>0</v>
      </c>
      <c r="AE24" s="1">
        <f>IFERROR(Table2[[#This Row],[WASH_PIN]]*$V24,)</f>
        <v>0</v>
      </c>
      <c r="AF24" s="1">
        <f>IFERROR(Table2[[#This Row],[WASH_acute_PIN]]*$V24,)</f>
        <v>0</v>
      </c>
      <c r="AG24" s="1">
        <f>IFERROR(Table2[[#This Row],[Protection_PIN]]*$V24,)</f>
        <v>0</v>
      </c>
      <c r="AH24" s="1">
        <f>IFERROR(Table2[[#This Row],[Food_PIN]]*$V24,)</f>
        <v>0</v>
      </c>
      <c r="AI24" s="1">
        <f>IFERROR(Table2[[#This Row],[Protection_CP_PIN]]*$V24,)</f>
        <v>0</v>
      </c>
      <c r="AJ24" s="1">
        <f>IFERROR(Table2[[#This Row],[Protection_GBV_PIN]]*$V24,)</f>
        <v>0</v>
      </c>
      <c r="AK24" s="1">
        <f>IFERROR(Table2[[#This Row],[Protection_MA_PIN]]*$V24,)</f>
        <v>0</v>
      </c>
      <c r="AL24" s="1">
        <f>IFERROR(Table2[[#This Row],[Health_PIN]]*$W24,)</f>
        <v>0</v>
      </c>
      <c r="AM24" s="1">
        <f>IFERROR(Table2[[#This Row],[CCCM_PIN]]*$W24,)</f>
        <v>0</v>
      </c>
      <c r="AN24" s="1">
        <f>IFERROR(Table2[[#This Row],[ERL_PIN]]*$W24,)</f>
        <v>0</v>
      </c>
      <c r="AO24" s="1">
        <f>IFERROR(Table2[[#This Row],[NFI_PIN]]*$W24,)</f>
        <v>0</v>
      </c>
      <c r="AP24" s="1">
        <f>IFERROR(Table2[[#This Row],[Nutrition_PIN]]*$W24,)</f>
        <v>0</v>
      </c>
      <c r="AQ24" s="1">
        <f>IFERROR(Table2[[#This Row],[Education_PIN]]*$W24,)</f>
        <v>0</v>
      </c>
      <c r="AR24" s="1">
        <f>IFERROR(Table2[[#This Row],[Shelter_PIN]]*$W24,)</f>
        <v>0</v>
      </c>
      <c r="AS24" s="1">
        <f>IFERROR(Table2[[#This Row],[WASH_PIN]]*$W24,)</f>
        <v>0</v>
      </c>
      <c r="AT24" s="1">
        <f>IFERROR(Table2[[#This Row],[WASH_acute_PIN]]*$W24,)</f>
        <v>0</v>
      </c>
      <c r="AU24" s="1">
        <f>IFERROR(Table2[[#This Row],[Protection_PIN]]*$W24,)</f>
        <v>0</v>
      </c>
      <c r="AV24" s="1">
        <f>IFERROR(Table2[[#This Row],[Food_PIN]]*$W24,)</f>
        <v>0</v>
      </c>
      <c r="AW24" s="1">
        <f>IFERROR(Table2[[#This Row],[Protection_CP_PIN]]*$W24,)</f>
        <v>0</v>
      </c>
      <c r="AX24" s="1">
        <f>IFERROR(Table2[[#This Row],[Protection_GBV_PIN]]*$W24,)</f>
        <v>0</v>
      </c>
      <c r="AY24" s="1">
        <f>IFERROR(Table2[[#This Row],[Protection_MA_PIN]]*$W24,)</f>
        <v>0</v>
      </c>
      <c r="AZ24" s="1">
        <v>1</v>
      </c>
      <c r="BA24" s="1">
        <v>3</v>
      </c>
      <c r="BB24" s="1">
        <v>4</v>
      </c>
      <c r="BC24" s="1">
        <v>2</v>
      </c>
      <c r="BD24" s="1">
        <v>3</v>
      </c>
      <c r="BE24" s="1">
        <v>2</v>
      </c>
      <c r="BF24" s="1">
        <v>2</v>
      </c>
      <c r="BG24" s="1">
        <v>4</v>
      </c>
      <c r="BH24" s="1">
        <v>2</v>
      </c>
      <c r="BI24" s="1">
        <v>2</v>
      </c>
      <c r="BJ24" s="1">
        <v>3</v>
      </c>
      <c r="BK24" s="1" t="s">
        <v>665</v>
      </c>
      <c r="BL24" s="1">
        <v>2</v>
      </c>
    </row>
    <row r="25" spans="1:64" x14ac:dyDescent="0.35">
      <c r="A25" t="s">
        <v>6</v>
      </c>
      <c r="B25" t="s">
        <v>667</v>
      </c>
      <c r="C25" t="s">
        <v>7</v>
      </c>
      <c r="D25" t="s">
        <v>35</v>
      </c>
      <c r="E25" t="s">
        <v>694</v>
      </c>
      <c r="F25" t="s">
        <v>36</v>
      </c>
      <c r="G25" t="s">
        <v>35</v>
      </c>
      <c r="H25" s="1">
        <v>0</v>
      </c>
      <c r="I25" s="1" t="s">
        <v>665</v>
      </c>
      <c r="J25" s="1">
        <v>13140</v>
      </c>
      <c r="K25" s="1">
        <v>2967</v>
      </c>
      <c r="L25" s="1">
        <v>3124.1371641560518</v>
      </c>
      <c r="M25" s="1">
        <v>5510.7666666666664</v>
      </c>
      <c r="N25" s="1">
        <v>0</v>
      </c>
      <c r="O25" s="1">
        <v>541.98913595114561</v>
      </c>
      <c r="P25" s="1">
        <v>0</v>
      </c>
      <c r="Q25" s="1">
        <v>4451</v>
      </c>
      <c r="R25" s="1">
        <v>12363.333333333332</v>
      </c>
      <c r="S25" s="1">
        <v>2296.4</v>
      </c>
      <c r="T25" s="1">
        <v>2433</v>
      </c>
      <c r="U25" s="1" t="s">
        <v>665</v>
      </c>
      <c r="V25" s="3">
        <f>_xlfn.XLOOKUP(Table2[[#This Row],[admin3Pcode]],'Inter-sector dataset'!F:F,'Inter-sector dataset'!Q:Q)</f>
        <v>0</v>
      </c>
      <c r="W25" s="3">
        <f>_xlfn.XLOOKUP(Table2[[#This Row],[admin3Pcode]],'Inter-sector dataset'!F:F,'Inter-sector dataset'!R:R)</f>
        <v>0</v>
      </c>
      <c r="X25" s="1">
        <f>IFERROR(Table2[[#This Row],[Health_PIN]]*$V25,)</f>
        <v>0</v>
      </c>
      <c r="Y25" s="1">
        <f>IFERROR(Table2[[#This Row],[CCCM_PIN]]*$V25,)</f>
        <v>0</v>
      </c>
      <c r="Z25" s="1">
        <f>IFERROR(Table2[[#This Row],[ERL_PIN]]*$V25,)</f>
        <v>0</v>
      </c>
      <c r="AA25" s="1">
        <f>IFERROR(Table2[[#This Row],[NFI_PIN]]*$V25,)</f>
        <v>0</v>
      </c>
      <c r="AB25" s="1">
        <f>IFERROR(Table2[[#This Row],[Nutrition_PIN]]*$V25,)</f>
        <v>0</v>
      </c>
      <c r="AC25" s="1">
        <f>IFERROR(Table2[[#This Row],[Education_PIN]]*$V25,)</f>
        <v>0</v>
      </c>
      <c r="AD25" s="1">
        <f>IFERROR(Table2[[#This Row],[Shelter_PIN]]*$V25,)</f>
        <v>0</v>
      </c>
      <c r="AE25" s="1">
        <f>IFERROR(Table2[[#This Row],[WASH_PIN]]*$V25,)</f>
        <v>0</v>
      </c>
      <c r="AF25" s="1">
        <f>IFERROR(Table2[[#This Row],[WASH_acute_PIN]]*$V25,)</f>
        <v>0</v>
      </c>
      <c r="AG25" s="1">
        <f>IFERROR(Table2[[#This Row],[Protection_PIN]]*$V25,)</f>
        <v>0</v>
      </c>
      <c r="AH25" s="1">
        <f>IFERROR(Table2[[#This Row],[Food_PIN]]*$V25,)</f>
        <v>0</v>
      </c>
      <c r="AI25" s="1">
        <f>IFERROR(Table2[[#This Row],[Protection_CP_PIN]]*$V25,)</f>
        <v>0</v>
      </c>
      <c r="AJ25" s="1">
        <f>IFERROR(Table2[[#This Row],[Protection_GBV_PIN]]*$V25,)</f>
        <v>0</v>
      </c>
      <c r="AK25" s="1">
        <f>IFERROR(Table2[[#This Row],[Protection_MA_PIN]]*$V25,)</f>
        <v>0</v>
      </c>
      <c r="AL25" s="1">
        <f>IFERROR(Table2[[#This Row],[Health_PIN]]*$W25,)</f>
        <v>0</v>
      </c>
      <c r="AM25" s="1">
        <f>IFERROR(Table2[[#This Row],[CCCM_PIN]]*$W25,)</f>
        <v>0</v>
      </c>
      <c r="AN25" s="1">
        <f>IFERROR(Table2[[#This Row],[ERL_PIN]]*$W25,)</f>
        <v>0</v>
      </c>
      <c r="AO25" s="1">
        <f>IFERROR(Table2[[#This Row],[NFI_PIN]]*$W25,)</f>
        <v>0</v>
      </c>
      <c r="AP25" s="1">
        <f>IFERROR(Table2[[#This Row],[Nutrition_PIN]]*$W25,)</f>
        <v>0</v>
      </c>
      <c r="AQ25" s="1">
        <f>IFERROR(Table2[[#This Row],[Education_PIN]]*$W25,)</f>
        <v>0</v>
      </c>
      <c r="AR25" s="1">
        <f>IFERROR(Table2[[#This Row],[Shelter_PIN]]*$W25,)</f>
        <v>0</v>
      </c>
      <c r="AS25" s="1">
        <f>IFERROR(Table2[[#This Row],[WASH_PIN]]*$W25,)</f>
        <v>0</v>
      </c>
      <c r="AT25" s="1">
        <f>IFERROR(Table2[[#This Row],[WASH_acute_PIN]]*$W25,)</f>
        <v>0</v>
      </c>
      <c r="AU25" s="1">
        <f>IFERROR(Table2[[#This Row],[Protection_PIN]]*$W25,)</f>
        <v>0</v>
      </c>
      <c r="AV25" s="1">
        <f>IFERROR(Table2[[#This Row],[Food_PIN]]*$W25,)</f>
        <v>0</v>
      </c>
      <c r="AW25" s="1">
        <f>IFERROR(Table2[[#This Row],[Protection_CP_PIN]]*$W25,)</f>
        <v>0</v>
      </c>
      <c r="AX25" s="1">
        <f>IFERROR(Table2[[#This Row],[Protection_GBV_PIN]]*$W25,)</f>
        <v>0</v>
      </c>
      <c r="AY25" s="1">
        <f>IFERROR(Table2[[#This Row],[Protection_MA_PIN]]*$W25,)</f>
        <v>0</v>
      </c>
      <c r="AZ25" s="1">
        <v>1</v>
      </c>
      <c r="BA25" s="1">
        <v>3</v>
      </c>
      <c r="BB25" s="1">
        <v>4</v>
      </c>
      <c r="BC25" s="1">
        <v>2</v>
      </c>
      <c r="BD25" s="1">
        <v>3</v>
      </c>
      <c r="BE25" s="1">
        <v>2</v>
      </c>
      <c r="BF25" s="1">
        <v>2</v>
      </c>
      <c r="BG25" s="1">
        <v>3</v>
      </c>
      <c r="BH25" s="1">
        <v>2</v>
      </c>
      <c r="BI25" s="1">
        <v>2</v>
      </c>
      <c r="BJ25" s="1">
        <v>4</v>
      </c>
      <c r="BK25" s="1" t="s">
        <v>665</v>
      </c>
      <c r="BL25" s="1">
        <v>2</v>
      </c>
    </row>
    <row r="26" spans="1:64" x14ac:dyDescent="0.35">
      <c r="A26" t="s">
        <v>6</v>
      </c>
      <c r="B26" t="s">
        <v>667</v>
      </c>
      <c r="C26" t="s">
        <v>7</v>
      </c>
      <c r="D26" t="s">
        <v>24</v>
      </c>
      <c r="E26" t="s">
        <v>695</v>
      </c>
      <c r="F26" t="s">
        <v>25</v>
      </c>
      <c r="G26" t="s">
        <v>24</v>
      </c>
      <c r="H26" s="1">
        <v>0</v>
      </c>
      <c r="I26" s="1" t="s">
        <v>665</v>
      </c>
      <c r="J26" s="1">
        <v>12151</v>
      </c>
      <c r="K26" s="1">
        <v>0</v>
      </c>
      <c r="L26" s="1">
        <v>3002.4143552114388</v>
      </c>
      <c r="M26" s="1">
        <v>4613.3166666666666</v>
      </c>
      <c r="N26" s="1">
        <v>1852</v>
      </c>
      <c r="O26" s="1">
        <v>5131.0269413296246</v>
      </c>
      <c r="P26" s="1">
        <v>0</v>
      </c>
      <c r="Q26" s="1">
        <v>4511</v>
      </c>
      <c r="R26" s="1">
        <v>7935.1388888888887</v>
      </c>
      <c r="S26" s="1">
        <v>2367.1999999999998</v>
      </c>
      <c r="T26" s="1">
        <v>2387</v>
      </c>
      <c r="U26" s="1" t="s">
        <v>665</v>
      </c>
      <c r="V26" s="3">
        <f>_xlfn.XLOOKUP(Table2[[#This Row],[admin3Pcode]],'Inter-sector dataset'!F:F,'Inter-sector dataset'!Q:Q)</f>
        <v>0</v>
      </c>
      <c r="W26" s="3">
        <f>_xlfn.XLOOKUP(Table2[[#This Row],[admin3Pcode]],'Inter-sector dataset'!F:F,'Inter-sector dataset'!R:R)</f>
        <v>0</v>
      </c>
      <c r="X26" s="1">
        <f>IFERROR(Table2[[#This Row],[Health_PIN]]*$V26,)</f>
        <v>0</v>
      </c>
      <c r="Y26" s="1">
        <f>IFERROR(Table2[[#This Row],[CCCM_PIN]]*$V26,)</f>
        <v>0</v>
      </c>
      <c r="Z26" s="1">
        <f>IFERROR(Table2[[#This Row],[ERL_PIN]]*$V26,)</f>
        <v>0</v>
      </c>
      <c r="AA26" s="1">
        <f>IFERROR(Table2[[#This Row],[NFI_PIN]]*$V26,)</f>
        <v>0</v>
      </c>
      <c r="AB26" s="1">
        <f>IFERROR(Table2[[#This Row],[Nutrition_PIN]]*$V26,)</f>
        <v>0</v>
      </c>
      <c r="AC26" s="1">
        <f>IFERROR(Table2[[#This Row],[Education_PIN]]*$V26,)</f>
        <v>0</v>
      </c>
      <c r="AD26" s="1">
        <f>IFERROR(Table2[[#This Row],[Shelter_PIN]]*$V26,)</f>
        <v>0</v>
      </c>
      <c r="AE26" s="1">
        <f>IFERROR(Table2[[#This Row],[WASH_PIN]]*$V26,)</f>
        <v>0</v>
      </c>
      <c r="AF26" s="1">
        <f>IFERROR(Table2[[#This Row],[WASH_acute_PIN]]*$V26,)</f>
        <v>0</v>
      </c>
      <c r="AG26" s="1">
        <f>IFERROR(Table2[[#This Row],[Protection_PIN]]*$V26,)</f>
        <v>0</v>
      </c>
      <c r="AH26" s="1">
        <f>IFERROR(Table2[[#This Row],[Food_PIN]]*$V26,)</f>
        <v>0</v>
      </c>
      <c r="AI26" s="1">
        <f>IFERROR(Table2[[#This Row],[Protection_CP_PIN]]*$V26,)</f>
        <v>0</v>
      </c>
      <c r="AJ26" s="1">
        <f>IFERROR(Table2[[#This Row],[Protection_GBV_PIN]]*$V26,)</f>
        <v>0</v>
      </c>
      <c r="AK26" s="1">
        <f>IFERROR(Table2[[#This Row],[Protection_MA_PIN]]*$V26,)</f>
        <v>0</v>
      </c>
      <c r="AL26" s="1">
        <f>IFERROR(Table2[[#This Row],[Health_PIN]]*$W26,)</f>
        <v>0</v>
      </c>
      <c r="AM26" s="1">
        <f>IFERROR(Table2[[#This Row],[CCCM_PIN]]*$W26,)</f>
        <v>0</v>
      </c>
      <c r="AN26" s="1">
        <f>IFERROR(Table2[[#This Row],[ERL_PIN]]*$W26,)</f>
        <v>0</v>
      </c>
      <c r="AO26" s="1">
        <f>IFERROR(Table2[[#This Row],[NFI_PIN]]*$W26,)</f>
        <v>0</v>
      </c>
      <c r="AP26" s="1">
        <f>IFERROR(Table2[[#This Row],[Nutrition_PIN]]*$W26,)</f>
        <v>0</v>
      </c>
      <c r="AQ26" s="1">
        <f>IFERROR(Table2[[#This Row],[Education_PIN]]*$W26,)</f>
        <v>0</v>
      </c>
      <c r="AR26" s="1">
        <f>IFERROR(Table2[[#This Row],[Shelter_PIN]]*$W26,)</f>
        <v>0</v>
      </c>
      <c r="AS26" s="1">
        <f>IFERROR(Table2[[#This Row],[WASH_PIN]]*$W26,)</f>
        <v>0</v>
      </c>
      <c r="AT26" s="1">
        <f>IFERROR(Table2[[#This Row],[WASH_acute_PIN]]*$W26,)</f>
        <v>0</v>
      </c>
      <c r="AU26" s="1">
        <f>IFERROR(Table2[[#This Row],[Protection_PIN]]*$W26,)</f>
        <v>0</v>
      </c>
      <c r="AV26" s="1">
        <f>IFERROR(Table2[[#This Row],[Food_PIN]]*$W26,)</f>
        <v>0</v>
      </c>
      <c r="AW26" s="1">
        <f>IFERROR(Table2[[#This Row],[Protection_CP_PIN]]*$W26,)</f>
        <v>0</v>
      </c>
      <c r="AX26" s="1">
        <f>IFERROR(Table2[[#This Row],[Protection_GBV_PIN]]*$W26,)</f>
        <v>0</v>
      </c>
      <c r="AY26" s="1">
        <f>IFERROR(Table2[[#This Row],[Protection_MA_PIN]]*$W26,)</f>
        <v>0</v>
      </c>
      <c r="AZ26" s="1">
        <v>2</v>
      </c>
      <c r="BA26" s="1">
        <v>3</v>
      </c>
      <c r="BB26" s="1">
        <v>4</v>
      </c>
      <c r="BC26" s="1">
        <v>1</v>
      </c>
      <c r="BD26" s="1">
        <v>3</v>
      </c>
      <c r="BE26" s="1">
        <v>2</v>
      </c>
      <c r="BF26" s="1">
        <v>2</v>
      </c>
      <c r="BG26" s="1">
        <v>3</v>
      </c>
      <c r="BH26" s="1">
        <v>2</v>
      </c>
      <c r="BI26" s="1">
        <v>2</v>
      </c>
      <c r="BJ26" s="1">
        <v>3</v>
      </c>
      <c r="BK26" s="1" t="s">
        <v>665</v>
      </c>
      <c r="BL26" s="1">
        <v>3</v>
      </c>
    </row>
    <row r="27" spans="1:64" x14ac:dyDescent="0.35">
      <c r="A27" t="s">
        <v>6</v>
      </c>
      <c r="B27" t="s">
        <v>667</v>
      </c>
      <c r="C27" t="s">
        <v>7</v>
      </c>
      <c r="D27" t="s">
        <v>46</v>
      </c>
      <c r="E27" t="s">
        <v>696</v>
      </c>
      <c r="F27" t="s">
        <v>47</v>
      </c>
      <c r="G27" t="s">
        <v>697</v>
      </c>
      <c r="H27" s="1">
        <v>0</v>
      </c>
      <c r="I27" s="1" t="s">
        <v>665</v>
      </c>
      <c r="J27" s="1">
        <v>16162</v>
      </c>
      <c r="K27" s="1">
        <v>4004</v>
      </c>
      <c r="L27" s="1">
        <v>3380.0348450338811</v>
      </c>
      <c r="M27" s="1">
        <v>7084.5333333333338</v>
      </c>
      <c r="N27" s="1">
        <v>0</v>
      </c>
      <c r="O27" s="1">
        <v>3203.2954545454554</v>
      </c>
      <c r="P27" s="1">
        <v>0</v>
      </c>
      <c r="Q27" s="1">
        <v>6006</v>
      </c>
      <c r="R27" s="1">
        <v>11845.166666666664</v>
      </c>
      <c r="S27" s="1">
        <v>2929.2000000000003</v>
      </c>
      <c r="T27" s="1">
        <v>3297</v>
      </c>
      <c r="U27" s="1" t="s">
        <v>665</v>
      </c>
      <c r="V27" s="3">
        <f>_xlfn.XLOOKUP(Table2[[#This Row],[admin3Pcode]],'Inter-sector dataset'!F:F,'Inter-sector dataset'!Q:Q)</f>
        <v>0</v>
      </c>
      <c r="W27" s="3">
        <f>_xlfn.XLOOKUP(Table2[[#This Row],[admin3Pcode]],'Inter-sector dataset'!F:F,'Inter-sector dataset'!R:R)</f>
        <v>0</v>
      </c>
      <c r="X27" s="1">
        <f>IFERROR(Table2[[#This Row],[Health_PIN]]*$V27,)</f>
        <v>0</v>
      </c>
      <c r="Y27" s="1">
        <f>IFERROR(Table2[[#This Row],[CCCM_PIN]]*$V27,)</f>
        <v>0</v>
      </c>
      <c r="Z27" s="1">
        <f>IFERROR(Table2[[#This Row],[ERL_PIN]]*$V27,)</f>
        <v>0</v>
      </c>
      <c r="AA27" s="1">
        <f>IFERROR(Table2[[#This Row],[NFI_PIN]]*$V27,)</f>
        <v>0</v>
      </c>
      <c r="AB27" s="1">
        <f>IFERROR(Table2[[#This Row],[Nutrition_PIN]]*$V27,)</f>
        <v>0</v>
      </c>
      <c r="AC27" s="1">
        <f>IFERROR(Table2[[#This Row],[Education_PIN]]*$V27,)</f>
        <v>0</v>
      </c>
      <c r="AD27" s="1">
        <f>IFERROR(Table2[[#This Row],[Shelter_PIN]]*$V27,)</f>
        <v>0</v>
      </c>
      <c r="AE27" s="1">
        <f>IFERROR(Table2[[#This Row],[WASH_PIN]]*$V27,)</f>
        <v>0</v>
      </c>
      <c r="AF27" s="1">
        <f>IFERROR(Table2[[#This Row],[WASH_acute_PIN]]*$V27,)</f>
        <v>0</v>
      </c>
      <c r="AG27" s="1">
        <f>IFERROR(Table2[[#This Row],[Protection_PIN]]*$V27,)</f>
        <v>0</v>
      </c>
      <c r="AH27" s="1">
        <f>IFERROR(Table2[[#This Row],[Food_PIN]]*$V27,)</f>
        <v>0</v>
      </c>
      <c r="AI27" s="1">
        <f>IFERROR(Table2[[#This Row],[Protection_CP_PIN]]*$V27,)</f>
        <v>0</v>
      </c>
      <c r="AJ27" s="1">
        <f>IFERROR(Table2[[#This Row],[Protection_GBV_PIN]]*$V27,)</f>
        <v>0</v>
      </c>
      <c r="AK27" s="1">
        <f>IFERROR(Table2[[#This Row],[Protection_MA_PIN]]*$V27,)</f>
        <v>0</v>
      </c>
      <c r="AL27" s="1">
        <f>IFERROR(Table2[[#This Row],[Health_PIN]]*$W27,)</f>
        <v>0</v>
      </c>
      <c r="AM27" s="1">
        <f>IFERROR(Table2[[#This Row],[CCCM_PIN]]*$W27,)</f>
        <v>0</v>
      </c>
      <c r="AN27" s="1">
        <f>IFERROR(Table2[[#This Row],[ERL_PIN]]*$W27,)</f>
        <v>0</v>
      </c>
      <c r="AO27" s="1">
        <f>IFERROR(Table2[[#This Row],[NFI_PIN]]*$W27,)</f>
        <v>0</v>
      </c>
      <c r="AP27" s="1">
        <f>IFERROR(Table2[[#This Row],[Nutrition_PIN]]*$W27,)</f>
        <v>0</v>
      </c>
      <c r="AQ27" s="1">
        <f>IFERROR(Table2[[#This Row],[Education_PIN]]*$W27,)</f>
        <v>0</v>
      </c>
      <c r="AR27" s="1">
        <f>IFERROR(Table2[[#This Row],[Shelter_PIN]]*$W27,)</f>
        <v>0</v>
      </c>
      <c r="AS27" s="1">
        <f>IFERROR(Table2[[#This Row],[WASH_PIN]]*$W27,)</f>
        <v>0</v>
      </c>
      <c r="AT27" s="1">
        <f>IFERROR(Table2[[#This Row],[WASH_acute_PIN]]*$W27,)</f>
        <v>0</v>
      </c>
      <c r="AU27" s="1">
        <f>IFERROR(Table2[[#This Row],[Protection_PIN]]*$W27,)</f>
        <v>0</v>
      </c>
      <c r="AV27" s="1">
        <f>IFERROR(Table2[[#This Row],[Food_PIN]]*$W27,)</f>
        <v>0</v>
      </c>
      <c r="AW27" s="1">
        <f>IFERROR(Table2[[#This Row],[Protection_CP_PIN]]*$W27,)</f>
        <v>0</v>
      </c>
      <c r="AX27" s="1">
        <f>IFERROR(Table2[[#This Row],[Protection_GBV_PIN]]*$W27,)</f>
        <v>0</v>
      </c>
      <c r="AY27" s="1">
        <f>IFERROR(Table2[[#This Row],[Protection_MA_PIN]]*$W27,)</f>
        <v>0</v>
      </c>
      <c r="AZ27" s="1">
        <v>1</v>
      </c>
      <c r="BA27" s="1">
        <v>3</v>
      </c>
      <c r="BB27" s="1">
        <v>4</v>
      </c>
      <c r="BC27" s="1">
        <v>2</v>
      </c>
      <c r="BD27" s="1">
        <v>3</v>
      </c>
      <c r="BE27" s="1">
        <v>2</v>
      </c>
      <c r="BF27" s="1">
        <v>2</v>
      </c>
      <c r="BG27" s="1">
        <v>3</v>
      </c>
      <c r="BH27" s="1">
        <v>2</v>
      </c>
      <c r="BI27" s="1">
        <v>2</v>
      </c>
      <c r="BJ27" s="1">
        <v>3</v>
      </c>
      <c r="BK27" s="1" t="s">
        <v>665</v>
      </c>
      <c r="BL27" s="1">
        <v>2</v>
      </c>
    </row>
    <row r="28" spans="1:64" x14ac:dyDescent="0.35">
      <c r="A28" t="s">
        <v>6</v>
      </c>
      <c r="B28" t="s">
        <v>667</v>
      </c>
      <c r="C28" t="s">
        <v>7</v>
      </c>
      <c r="D28" t="s">
        <v>68</v>
      </c>
      <c r="E28" t="s">
        <v>698</v>
      </c>
      <c r="F28" t="s">
        <v>69</v>
      </c>
      <c r="G28" t="s">
        <v>68</v>
      </c>
      <c r="H28" s="1">
        <v>0</v>
      </c>
      <c r="I28" s="1" t="s">
        <v>665</v>
      </c>
      <c r="J28" s="1">
        <v>17534</v>
      </c>
      <c r="K28" s="1">
        <v>748</v>
      </c>
      <c r="L28" s="1">
        <v>4360.6559007536443</v>
      </c>
      <c r="M28" s="1">
        <v>5165.1166666666668</v>
      </c>
      <c r="N28" s="1">
        <v>438</v>
      </c>
      <c r="O28" s="1">
        <v>2613.4067401525581</v>
      </c>
      <c r="P28" s="1">
        <v>0</v>
      </c>
      <c r="Q28" s="1">
        <v>6022</v>
      </c>
      <c r="R28" s="1">
        <v>4683.9333333333325</v>
      </c>
      <c r="S28" s="1">
        <v>2905.6000000000004</v>
      </c>
      <c r="T28" s="1">
        <v>3219</v>
      </c>
      <c r="U28" s="1" t="s">
        <v>665</v>
      </c>
      <c r="V28" s="3">
        <f>_xlfn.XLOOKUP(Table2[[#This Row],[admin3Pcode]],'Inter-sector dataset'!F:F,'Inter-sector dataset'!Q:Q)</f>
        <v>0</v>
      </c>
      <c r="W28" s="3">
        <f>_xlfn.XLOOKUP(Table2[[#This Row],[admin3Pcode]],'Inter-sector dataset'!F:F,'Inter-sector dataset'!R:R)</f>
        <v>0</v>
      </c>
      <c r="X28" s="1">
        <f>IFERROR(Table2[[#This Row],[Health_PIN]]*$V28,)</f>
        <v>0</v>
      </c>
      <c r="Y28" s="1">
        <f>IFERROR(Table2[[#This Row],[CCCM_PIN]]*$V28,)</f>
        <v>0</v>
      </c>
      <c r="Z28" s="1">
        <f>IFERROR(Table2[[#This Row],[ERL_PIN]]*$V28,)</f>
        <v>0</v>
      </c>
      <c r="AA28" s="1">
        <f>IFERROR(Table2[[#This Row],[NFI_PIN]]*$V28,)</f>
        <v>0</v>
      </c>
      <c r="AB28" s="1">
        <f>IFERROR(Table2[[#This Row],[Nutrition_PIN]]*$V28,)</f>
        <v>0</v>
      </c>
      <c r="AC28" s="1">
        <f>IFERROR(Table2[[#This Row],[Education_PIN]]*$V28,)</f>
        <v>0</v>
      </c>
      <c r="AD28" s="1">
        <f>IFERROR(Table2[[#This Row],[Shelter_PIN]]*$V28,)</f>
        <v>0</v>
      </c>
      <c r="AE28" s="1">
        <f>IFERROR(Table2[[#This Row],[WASH_PIN]]*$V28,)</f>
        <v>0</v>
      </c>
      <c r="AF28" s="1">
        <f>IFERROR(Table2[[#This Row],[WASH_acute_PIN]]*$V28,)</f>
        <v>0</v>
      </c>
      <c r="AG28" s="1">
        <f>IFERROR(Table2[[#This Row],[Protection_PIN]]*$V28,)</f>
        <v>0</v>
      </c>
      <c r="AH28" s="1">
        <f>IFERROR(Table2[[#This Row],[Food_PIN]]*$V28,)</f>
        <v>0</v>
      </c>
      <c r="AI28" s="1">
        <f>IFERROR(Table2[[#This Row],[Protection_CP_PIN]]*$V28,)</f>
        <v>0</v>
      </c>
      <c r="AJ28" s="1">
        <f>IFERROR(Table2[[#This Row],[Protection_GBV_PIN]]*$V28,)</f>
        <v>0</v>
      </c>
      <c r="AK28" s="1">
        <f>IFERROR(Table2[[#This Row],[Protection_MA_PIN]]*$V28,)</f>
        <v>0</v>
      </c>
      <c r="AL28" s="1">
        <f>IFERROR(Table2[[#This Row],[Health_PIN]]*$W28,)</f>
        <v>0</v>
      </c>
      <c r="AM28" s="1">
        <f>IFERROR(Table2[[#This Row],[CCCM_PIN]]*$W28,)</f>
        <v>0</v>
      </c>
      <c r="AN28" s="1">
        <f>IFERROR(Table2[[#This Row],[ERL_PIN]]*$W28,)</f>
        <v>0</v>
      </c>
      <c r="AO28" s="1">
        <f>IFERROR(Table2[[#This Row],[NFI_PIN]]*$W28,)</f>
        <v>0</v>
      </c>
      <c r="AP28" s="1">
        <f>IFERROR(Table2[[#This Row],[Nutrition_PIN]]*$W28,)</f>
        <v>0</v>
      </c>
      <c r="AQ28" s="1">
        <f>IFERROR(Table2[[#This Row],[Education_PIN]]*$W28,)</f>
        <v>0</v>
      </c>
      <c r="AR28" s="1">
        <f>IFERROR(Table2[[#This Row],[Shelter_PIN]]*$W28,)</f>
        <v>0</v>
      </c>
      <c r="AS28" s="1">
        <f>IFERROR(Table2[[#This Row],[WASH_PIN]]*$W28,)</f>
        <v>0</v>
      </c>
      <c r="AT28" s="1">
        <f>IFERROR(Table2[[#This Row],[WASH_acute_PIN]]*$W28,)</f>
        <v>0</v>
      </c>
      <c r="AU28" s="1">
        <f>IFERROR(Table2[[#This Row],[Protection_PIN]]*$W28,)</f>
        <v>0</v>
      </c>
      <c r="AV28" s="1">
        <f>IFERROR(Table2[[#This Row],[Food_PIN]]*$W28,)</f>
        <v>0</v>
      </c>
      <c r="AW28" s="1">
        <f>IFERROR(Table2[[#This Row],[Protection_CP_PIN]]*$W28,)</f>
        <v>0</v>
      </c>
      <c r="AX28" s="1">
        <f>IFERROR(Table2[[#This Row],[Protection_GBV_PIN]]*$W28,)</f>
        <v>0</v>
      </c>
      <c r="AY28" s="1">
        <f>IFERROR(Table2[[#This Row],[Protection_MA_PIN]]*$W28,)</f>
        <v>0</v>
      </c>
      <c r="AZ28" s="1">
        <v>2</v>
      </c>
      <c r="BA28" s="1">
        <v>3</v>
      </c>
      <c r="BB28" s="1">
        <v>5</v>
      </c>
      <c r="BC28" s="1">
        <v>2</v>
      </c>
      <c r="BD28" s="1">
        <v>3</v>
      </c>
      <c r="BE28" s="1">
        <v>2</v>
      </c>
      <c r="BF28" s="1">
        <v>2</v>
      </c>
      <c r="BG28" s="1">
        <v>3</v>
      </c>
      <c r="BH28" s="1">
        <v>2</v>
      </c>
      <c r="BI28" s="1">
        <v>2</v>
      </c>
      <c r="BJ28" s="1">
        <v>3</v>
      </c>
      <c r="BK28" s="1" t="s">
        <v>665</v>
      </c>
      <c r="BL28" s="1">
        <v>2</v>
      </c>
    </row>
    <row r="29" spans="1:64" x14ac:dyDescent="0.35">
      <c r="A29" t="s">
        <v>6</v>
      </c>
      <c r="B29" t="s">
        <v>667</v>
      </c>
      <c r="C29" t="s">
        <v>7</v>
      </c>
      <c r="D29" t="s">
        <v>52</v>
      </c>
      <c r="E29" t="s">
        <v>699</v>
      </c>
      <c r="F29" t="s">
        <v>53</v>
      </c>
      <c r="G29" t="s">
        <v>52</v>
      </c>
      <c r="H29" s="1">
        <v>0</v>
      </c>
      <c r="I29" s="1" t="s">
        <v>665</v>
      </c>
      <c r="J29" s="1">
        <v>18075</v>
      </c>
      <c r="K29" s="1">
        <v>4137</v>
      </c>
      <c r="L29" s="1">
        <v>4650.1471722088572</v>
      </c>
      <c r="M29" s="1">
        <v>1553.053929445465</v>
      </c>
      <c r="N29" s="1">
        <v>682</v>
      </c>
      <c r="O29" s="1">
        <v>3287.0451578177426</v>
      </c>
      <c r="P29" s="1">
        <v>762</v>
      </c>
      <c r="Q29" s="1">
        <v>6206</v>
      </c>
      <c r="R29" s="1">
        <v>9050.5624999999982</v>
      </c>
      <c r="S29" s="1">
        <v>2071.6</v>
      </c>
      <c r="T29" s="1">
        <v>3412</v>
      </c>
      <c r="U29" s="1" t="s">
        <v>665</v>
      </c>
      <c r="V29" s="3">
        <f>_xlfn.XLOOKUP(Table2[[#This Row],[admin3Pcode]],'Inter-sector dataset'!F:F,'Inter-sector dataset'!Q:Q)</f>
        <v>0</v>
      </c>
      <c r="W29" s="3">
        <f>_xlfn.XLOOKUP(Table2[[#This Row],[admin3Pcode]],'Inter-sector dataset'!F:F,'Inter-sector dataset'!R:R)</f>
        <v>0</v>
      </c>
      <c r="X29" s="1">
        <f>IFERROR(Table2[[#This Row],[Health_PIN]]*$V29,)</f>
        <v>0</v>
      </c>
      <c r="Y29" s="1">
        <f>IFERROR(Table2[[#This Row],[CCCM_PIN]]*$V29,)</f>
        <v>0</v>
      </c>
      <c r="Z29" s="1">
        <f>IFERROR(Table2[[#This Row],[ERL_PIN]]*$V29,)</f>
        <v>0</v>
      </c>
      <c r="AA29" s="1">
        <f>IFERROR(Table2[[#This Row],[NFI_PIN]]*$V29,)</f>
        <v>0</v>
      </c>
      <c r="AB29" s="1">
        <f>IFERROR(Table2[[#This Row],[Nutrition_PIN]]*$V29,)</f>
        <v>0</v>
      </c>
      <c r="AC29" s="1">
        <f>IFERROR(Table2[[#This Row],[Education_PIN]]*$V29,)</f>
        <v>0</v>
      </c>
      <c r="AD29" s="1">
        <f>IFERROR(Table2[[#This Row],[Shelter_PIN]]*$V29,)</f>
        <v>0</v>
      </c>
      <c r="AE29" s="1">
        <f>IFERROR(Table2[[#This Row],[WASH_PIN]]*$V29,)</f>
        <v>0</v>
      </c>
      <c r="AF29" s="1">
        <f>IFERROR(Table2[[#This Row],[WASH_acute_PIN]]*$V29,)</f>
        <v>0</v>
      </c>
      <c r="AG29" s="1">
        <f>IFERROR(Table2[[#This Row],[Protection_PIN]]*$V29,)</f>
        <v>0</v>
      </c>
      <c r="AH29" s="1">
        <f>IFERROR(Table2[[#This Row],[Food_PIN]]*$V29,)</f>
        <v>0</v>
      </c>
      <c r="AI29" s="1">
        <f>IFERROR(Table2[[#This Row],[Protection_CP_PIN]]*$V29,)</f>
        <v>0</v>
      </c>
      <c r="AJ29" s="1">
        <f>IFERROR(Table2[[#This Row],[Protection_GBV_PIN]]*$V29,)</f>
        <v>0</v>
      </c>
      <c r="AK29" s="1">
        <f>IFERROR(Table2[[#This Row],[Protection_MA_PIN]]*$V29,)</f>
        <v>0</v>
      </c>
      <c r="AL29" s="1">
        <f>IFERROR(Table2[[#This Row],[Health_PIN]]*$W29,)</f>
        <v>0</v>
      </c>
      <c r="AM29" s="1">
        <f>IFERROR(Table2[[#This Row],[CCCM_PIN]]*$W29,)</f>
        <v>0</v>
      </c>
      <c r="AN29" s="1">
        <f>IFERROR(Table2[[#This Row],[ERL_PIN]]*$W29,)</f>
        <v>0</v>
      </c>
      <c r="AO29" s="1">
        <f>IFERROR(Table2[[#This Row],[NFI_PIN]]*$W29,)</f>
        <v>0</v>
      </c>
      <c r="AP29" s="1">
        <f>IFERROR(Table2[[#This Row],[Nutrition_PIN]]*$W29,)</f>
        <v>0</v>
      </c>
      <c r="AQ29" s="1">
        <f>IFERROR(Table2[[#This Row],[Education_PIN]]*$W29,)</f>
        <v>0</v>
      </c>
      <c r="AR29" s="1">
        <f>IFERROR(Table2[[#This Row],[Shelter_PIN]]*$W29,)</f>
        <v>0</v>
      </c>
      <c r="AS29" s="1">
        <f>IFERROR(Table2[[#This Row],[WASH_PIN]]*$W29,)</f>
        <v>0</v>
      </c>
      <c r="AT29" s="1">
        <f>IFERROR(Table2[[#This Row],[WASH_acute_PIN]]*$W29,)</f>
        <v>0</v>
      </c>
      <c r="AU29" s="1">
        <f>IFERROR(Table2[[#This Row],[Protection_PIN]]*$W29,)</f>
        <v>0</v>
      </c>
      <c r="AV29" s="1">
        <f>IFERROR(Table2[[#This Row],[Food_PIN]]*$W29,)</f>
        <v>0</v>
      </c>
      <c r="AW29" s="1">
        <f>IFERROR(Table2[[#This Row],[Protection_CP_PIN]]*$W29,)</f>
        <v>0</v>
      </c>
      <c r="AX29" s="1">
        <f>IFERROR(Table2[[#This Row],[Protection_GBV_PIN]]*$W29,)</f>
        <v>0</v>
      </c>
      <c r="AY29" s="1">
        <f>IFERROR(Table2[[#This Row],[Protection_MA_PIN]]*$W29,)</f>
        <v>0</v>
      </c>
      <c r="AZ29" s="1">
        <v>2</v>
      </c>
      <c r="BA29" s="1">
        <v>3</v>
      </c>
      <c r="BB29" s="1">
        <v>4</v>
      </c>
      <c r="BC29" s="1">
        <v>2</v>
      </c>
      <c r="BD29" s="1">
        <v>3</v>
      </c>
      <c r="BE29" s="1">
        <v>2</v>
      </c>
      <c r="BF29" s="1">
        <v>2</v>
      </c>
      <c r="BG29" s="1">
        <v>3</v>
      </c>
      <c r="BH29" s="1">
        <v>2</v>
      </c>
      <c r="BI29" s="1">
        <v>2</v>
      </c>
      <c r="BJ29" s="1">
        <v>3</v>
      </c>
      <c r="BK29" s="1" t="s">
        <v>665</v>
      </c>
      <c r="BL29" s="1">
        <v>2</v>
      </c>
    </row>
    <row r="30" spans="1:64" x14ac:dyDescent="0.35">
      <c r="A30" t="s">
        <v>6</v>
      </c>
      <c r="B30" t="s">
        <v>667</v>
      </c>
      <c r="C30" t="s">
        <v>7</v>
      </c>
      <c r="D30" t="s">
        <v>48</v>
      </c>
      <c r="E30" t="s">
        <v>700</v>
      </c>
      <c r="F30" t="s">
        <v>49</v>
      </c>
      <c r="G30" t="s">
        <v>48</v>
      </c>
      <c r="H30" s="1">
        <v>0</v>
      </c>
      <c r="I30" s="1" t="s">
        <v>665</v>
      </c>
      <c r="J30" s="1">
        <v>18716</v>
      </c>
      <c r="K30" s="1">
        <v>4332</v>
      </c>
      <c r="L30" s="1">
        <v>4977.978977532528</v>
      </c>
      <c r="M30" s="1">
        <v>8588.0333333333328</v>
      </c>
      <c r="N30" s="1">
        <v>1865</v>
      </c>
      <c r="O30" s="1">
        <v>1328.3037847992114</v>
      </c>
      <c r="P30" s="1">
        <v>0</v>
      </c>
      <c r="Q30" s="1">
        <v>6497</v>
      </c>
      <c r="R30" s="1">
        <v>13034.907407407409</v>
      </c>
      <c r="S30" s="1">
        <v>2907.2000000000003</v>
      </c>
      <c r="T30" s="1">
        <v>3515</v>
      </c>
      <c r="U30" s="1" t="s">
        <v>665</v>
      </c>
      <c r="V30" s="3">
        <f>_xlfn.XLOOKUP(Table2[[#This Row],[admin3Pcode]],'Inter-sector dataset'!F:F,'Inter-sector dataset'!Q:Q)</f>
        <v>0</v>
      </c>
      <c r="W30" s="3">
        <f>_xlfn.XLOOKUP(Table2[[#This Row],[admin3Pcode]],'Inter-sector dataset'!F:F,'Inter-sector dataset'!R:R)</f>
        <v>0</v>
      </c>
      <c r="X30" s="1">
        <f>IFERROR(Table2[[#This Row],[Health_PIN]]*$V30,)</f>
        <v>0</v>
      </c>
      <c r="Y30" s="1">
        <f>IFERROR(Table2[[#This Row],[CCCM_PIN]]*$V30,)</f>
        <v>0</v>
      </c>
      <c r="Z30" s="1">
        <f>IFERROR(Table2[[#This Row],[ERL_PIN]]*$V30,)</f>
        <v>0</v>
      </c>
      <c r="AA30" s="1">
        <f>IFERROR(Table2[[#This Row],[NFI_PIN]]*$V30,)</f>
        <v>0</v>
      </c>
      <c r="AB30" s="1">
        <f>IFERROR(Table2[[#This Row],[Nutrition_PIN]]*$V30,)</f>
        <v>0</v>
      </c>
      <c r="AC30" s="1">
        <f>IFERROR(Table2[[#This Row],[Education_PIN]]*$V30,)</f>
        <v>0</v>
      </c>
      <c r="AD30" s="1">
        <f>IFERROR(Table2[[#This Row],[Shelter_PIN]]*$V30,)</f>
        <v>0</v>
      </c>
      <c r="AE30" s="1">
        <f>IFERROR(Table2[[#This Row],[WASH_PIN]]*$V30,)</f>
        <v>0</v>
      </c>
      <c r="AF30" s="1">
        <f>IFERROR(Table2[[#This Row],[WASH_acute_PIN]]*$V30,)</f>
        <v>0</v>
      </c>
      <c r="AG30" s="1">
        <f>IFERROR(Table2[[#This Row],[Protection_PIN]]*$V30,)</f>
        <v>0</v>
      </c>
      <c r="AH30" s="1">
        <f>IFERROR(Table2[[#This Row],[Food_PIN]]*$V30,)</f>
        <v>0</v>
      </c>
      <c r="AI30" s="1">
        <f>IFERROR(Table2[[#This Row],[Protection_CP_PIN]]*$V30,)</f>
        <v>0</v>
      </c>
      <c r="AJ30" s="1">
        <f>IFERROR(Table2[[#This Row],[Protection_GBV_PIN]]*$V30,)</f>
        <v>0</v>
      </c>
      <c r="AK30" s="1">
        <f>IFERROR(Table2[[#This Row],[Protection_MA_PIN]]*$V30,)</f>
        <v>0</v>
      </c>
      <c r="AL30" s="1">
        <f>IFERROR(Table2[[#This Row],[Health_PIN]]*$W30,)</f>
        <v>0</v>
      </c>
      <c r="AM30" s="1">
        <f>IFERROR(Table2[[#This Row],[CCCM_PIN]]*$W30,)</f>
        <v>0</v>
      </c>
      <c r="AN30" s="1">
        <f>IFERROR(Table2[[#This Row],[ERL_PIN]]*$W30,)</f>
        <v>0</v>
      </c>
      <c r="AO30" s="1">
        <f>IFERROR(Table2[[#This Row],[NFI_PIN]]*$W30,)</f>
        <v>0</v>
      </c>
      <c r="AP30" s="1">
        <f>IFERROR(Table2[[#This Row],[Nutrition_PIN]]*$W30,)</f>
        <v>0</v>
      </c>
      <c r="AQ30" s="1">
        <f>IFERROR(Table2[[#This Row],[Education_PIN]]*$W30,)</f>
        <v>0</v>
      </c>
      <c r="AR30" s="1">
        <f>IFERROR(Table2[[#This Row],[Shelter_PIN]]*$W30,)</f>
        <v>0</v>
      </c>
      <c r="AS30" s="1">
        <f>IFERROR(Table2[[#This Row],[WASH_PIN]]*$W30,)</f>
        <v>0</v>
      </c>
      <c r="AT30" s="1">
        <f>IFERROR(Table2[[#This Row],[WASH_acute_PIN]]*$W30,)</f>
        <v>0</v>
      </c>
      <c r="AU30" s="1">
        <f>IFERROR(Table2[[#This Row],[Protection_PIN]]*$W30,)</f>
        <v>0</v>
      </c>
      <c r="AV30" s="1">
        <f>IFERROR(Table2[[#This Row],[Food_PIN]]*$W30,)</f>
        <v>0</v>
      </c>
      <c r="AW30" s="1">
        <f>IFERROR(Table2[[#This Row],[Protection_CP_PIN]]*$W30,)</f>
        <v>0</v>
      </c>
      <c r="AX30" s="1">
        <f>IFERROR(Table2[[#This Row],[Protection_GBV_PIN]]*$W30,)</f>
        <v>0</v>
      </c>
      <c r="AY30" s="1">
        <f>IFERROR(Table2[[#This Row],[Protection_MA_PIN]]*$W30,)</f>
        <v>0</v>
      </c>
      <c r="AZ30" s="1">
        <v>2</v>
      </c>
      <c r="BA30" s="1">
        <v>3</v>
      </c>
      <c r="BB30" s="1">
        <v>4</v>
      </c>
      <c r="BC30" s="1">
        <v>2</v>
      </c>
      <c r="BD30" s="1">
        <v>3</v>
      </c>
      <c r="BE30" s="1">
        <v>2</v>
      </c>
      <c r="BF30" s="1">
        <v>2</v>
      </c>
      <c r="BG30" s="1">
        <v>3</v>
      </c>
      <c r="BH30" s="1">
        <v>2</v>
      </c>
      <c r="BI30" s="1">
        <v>2</v>
      </c>
      <c r="BJ30" s="1">
        <v>3</v>
      </c>
      <c r="BK30" s="1" t="s">
        <v>665</v>
      </c>
      <c r="BL30" s="1">
        <v>2</v>
      </c>
    </row>
    <row r="31" spans="1:64" x14ac:dyDescent="0.35">
      <c r="A31" t="s">
        <v>6</v>
      </c>
      <c r="B31" t="s">
        <v>667</v>
      </c>
      <c r="C31" t="s">
        <v>7</v>
      </c>
      <c r="D31" t="s">
        <v>10</v>
      </c>
      <c r="E31" t="s">
        <v>701</v>
      </c>
      <c r="F31" t="s">
        <v>11</v>
      </c>
      <c r="G31" t="s">
        <v>10</v>
      </c>
      <c r="H31" s="1">
        <v>0</v>
      </c>
      <c r="I31" s="1" t="s">
        <v>665</v>
      </c>
      <c r="J31" s="1">
        <v>18005</v>
      </c>
      <c r="K31" s="1">
        <v>0</v>
      </c>
      <c r="L31" s="1">
        <v>5599.8451483349263</v>
      </c>
      <c r="M31" s="1">
        <v>6752.833333333333</v>
      </c>
      <c r="N31" s="1">
        <v>0</v>
      </c>
      <c r="O31" s="1">
        <v>8841.3555901300297</v>
      </c>
      <c r="P31" s="1">
        <v>0</v>
      </c>
      <c r="Q31" s="1">
        <v>6858</v>
      </c>
      <c r="R31" s="1">
        <v>6773.3333333333321</v>
      </c>
      <c r="S31" s="1">
        <v>3375.6000000000004</v>
      </c>
      <c r="T31" s="1">
        <v>3767</v>
      </c>
      <c r="U31" s="1" t="s">
        <v>665</v>
      </c>
      <c r="V31" s="3">
        <f>_xlfn.XLOOKUP(Table2[[#This Row],[admin3Pcode]],'Inter-sector dataset'!F:F,'Inter-sector dataset'!Q:Q)</f>
        <v>0</v>
      </c>
      <c r="W31" s="3">
        <f>_xlfn.XLOOKUP(Table2[[#This Row],[admin3Pcode]],'Inter-sector dataset'!F:F,'Inter-sector dataset'!R:R)</f>
        <v>0</v>
      </c>
      <c r="X31" s="1">
        <f>IFERROR(Table2[[#This Row],[Health_PIN]]*$V31,)</f>
        <v>0</v>
      </c>
      <c r="Y31" s="1">
        <f>IFERROR(Table2[[#This Row],[CCCM_PIN]]*$V31,)</f>
        <v>0</v>
      </c>
      <c r="Z31" s="1">
        <f>IFERROR(Table2[[#This Row],[ERL_PIN]]*$V31,)</f>
        <v>0</v>
      </c>
      <c r="AA31" s="1">
        <f>IFERROR(Table2[[#This Row],[NFI_PIN]]*$V31,)</f>
        <v>0</v>
      </c>
      <c r="AB31" s="1">
        <f>IFERROR(Table2[[#This Row],[Nutrition_PIN]]*$V31,)</f>
        <v>0</v>
      </c>
      <c r="AC31" s="1">
        <f>IFERROR(Table2[[#This Row],[Education_PIN]]*$V31,)</f>
        <v>0</v>
      </c>
      <c r="AD31" s="1">
        <f>IFERROR(Table2[[#This Row],[Shelter_PIN]]*$V31,)</f>
        <v>0</v>
      </c>
      <c r="AE31" s="1">
        <f>IFERROR(Table2[[#This Row],[WASH_PIN]]*$V31,)</f>
        <v>0</v>
      </c>
      <c r="AF31" s="1">
        <f>IFERROR(Table2[[#This Row],[WASH_acute_PIN]]*$V31,)</f>
        <v>0</v>
      </c>
      <c r="AG31" s="1">
        <f>IFERROR(Table2[[#This Row],[Protection_PIN]]*$V31,)</f>
        <v>0</v>
      </c>
      <c r="AH31" s="1">
        <f>IFERROR(Table2[[#This Row],[Food_PIN]]*$V31,)</f>
        <v>0</v>
      </c>
      <c r="AI31" s="1">
        <f>IFERROR(Table2[[#This Row],[Protection_CP_PIN]]*$V31,)</f>
        <v>0</v>
      </c>
      <c r="AJ31" s="1">
        <f>IFERROR(Table2[[#This Row],[Protection_GBV_PIN]]*$V31,)</f>
        <v>0</v>
      </c>
      <c r="AK31" s="1">
        <f>IFERROR(Table2[[#This Row],[Protection_MA_PIN]]*$V31,)</f>
        <v>0</v>
      </c>
      <c r="AL31" s="1">
        <f>IFERROR(Table2[[#This Row],[Health_PIN]]*$W31,)</f>
        <v>0</v>
      </c>
      <c r="AM31" s="1">
        <f>IFERROR(Table2[[#This Row],[CCCM_PIN]]*$W31,)</f>
        <v>0</v>
      </c>
      <c r="AN31" s="1">
        <f>IFERROR(Table2[[#This Row],[ERL_PIN]]*$W31,)</f>
        <v>0</v>
      </c>
      <c r="AO31" s="1">
        <f>IFERROR(Table2[[#This Row],[NFI_PIN]]*$W31,)</f>
        <v>0</v>
      </c>
      <c r="AP31" s="1">
        <f>IFERROR(Table2[[#This Row],[Nutrition_PIN]]*$W31,)</f>
        <v>0</v>
      </c>
      <c r="AQ31" s="1">
        <f>IFERROR(Table2[[#This Row],[Education_PIN]]*$W31,)</f>
        <v>0</v>
      </c>
      <c r="AR31" s="1">
        <f>IFERROR(Table2[[#This Row],[Shelter_PIN]]*$W31,)</f>
        <v>0</v>
      </c>
      <c r="AS31" s="1">
        <f>IFERROR(Table2[[#This Row],[WASH_PIN]]*$W31,)</f>
        <v>0</v>
      </c>
      <c r="AT31" s="1">
        <f>IFERROR(Table2[[#This Row],[WASH_acute_PIN]]*$W31,)</f>
        <v>0</v>
      </c>
      <c r="AU31" s="1">
        <f>IFERROR(Table2[[#This Row],[Protection_PIN]]*$W31,)</f>
        <v>0</v>
      </c>
      <c r="AV31" s="1">
        <f>IFERROR(Table2[[#This Row],[Food_PIN]]*$W31,)</f>
        <v>0</v>
      </c>
      <c r="AW31" s="1">
        <f>IFERROR(Table2[[#This Row],[Protection_CP_PIN]]*$W31,)</f>
        <v>0</v>
      </c>
      <c r="AX31" s="1">
        <f>IFERROR(Table2[[#This Row],[Protection_GBV_PIN]]*$W31,)</f>
        <v>0</v>
      </c>
      <c r="AY31" s="1">
        <f>IFERROR(Table2[[#This Row],[Protection_MA_PIN]]*$W31,)</f>
        <v>0</v>
      </c>
      <c r="AZ31" s="1">
        <v>1</v>
      </c>
      <c r="BA31" s="1">
        <v>3</v>
      </c>
      <c r="BB31" s="1">
        <v>4</v>
      </c>
      <c r="BC31" s="1">
        <v>1</v>
      </c>
      <c r="BD31" s="1">
        <v>3</v>
      </c>
      <c r="BE31" s="1">
        <v>2</v>
      </c>
      <c r="BF31" s="1">
        <v>2</v>
      </c>
      <c r="BG31" s="1">
        <v>3</v>
      </c>
      <c r="BH31" s="1">
        <v>2</v>
      </c>
      <c r="BI31" s="1">
        <v>2</v>
      </c>
      <c r="BJ31" s="1">
        <v>3</v>
      </c>
      <c r="BK31" s="1" t="s">
        <v>665</v>
      </c>
      <c r="BL31" s="1">
        <v>3</v>
      </c>
    </row>
    <row r="32" spans="1:64" x14ac:dyDescent="0.35">
      <c r="A32" t="s">
        <v>12</v>
      </c>
      <c r="B32" t="s">
        <v>673</v>
      </c>
      <c r="C32" t="s">
        <v>13</v>
      </c>
      <c r="D32" t="s">
        <v>88</v>
      </c>
      <c r="E32" t="s">
        <v>702</v>
      </c>
      <c r="F32" t="s">
        <v>90</v>
      </c>
      <c r="G32" t="s">
        <v>88</v>
      </c>
      <c r="H32" s="1">
        <v>0</v>
      </c>
      <c r="I32" s="1" t="s">
        <v>665</v>
      </c>
      <c r="J32" s="1">
        <v>22534</v>
      </c>
      <c r="K32" s="1">
        <v>5118</v>
      </c>
      <c r="L32" s="1">
        <v>5557.2320982514329</v>
      </c>
      <c r="M32" s="1">
        <v>1478.5749527419082</v>
      </c>
      <c r="N32" s="1">
        <v>0</v>
      </c>
      <c r="O32" s="1">
        <v>2362.7081819754385</v>
      </c>
      <c r="P32" s="1">
        <v>280</v>
      </c>
      <c r="Q32" s="1">
        <v>7678</v>
      </c>
      <c r="R32" s="1">
        <v>12796</v>
      </c>
      <c r="S32" s="1">
        <v>3498.0000000000005</v>
      </c>
      <c r="T32" s="1">
        <v>3733</v>
      </c>
      <c r="U32" s="1" t="s">
        <v>665</v>
      </c>
      <c r="V32" s="3">
        <f>_xlfn.XLOOKUP(Table2[[#This Row],[admin3Pcode]],'Inter-sector dataset'!F:F,'Inter-sector dataset'!Q:Q)</f>
        <v>0</v>
      </c>
      <c r="W32" s="3">
        <f>_xlfn.XLOOKUP(Table2[[#This Row],[admin3Pcode]],'Inter-sector dataset'!F:F,'Inter-sector dataset'!R:R)</f>
        <v>0</v>
      </c>
      <c r="X32" s="1">
        <f>IFERROR(Table2[[#This Row],[Health_PIN]]*$V32,)</f>
        <v>0</v>
      </c>
      <c r="Y32" s="1">
        <f>IFERROR(Table2[[#This Row],[CCCM_PIN]]*$V32,)</f>
        <v>0</v>
      </c>
      <c r="Z32" s="1">
        <f>IFERROR(Table2[[#This Row],[ERL_PIN]]*$V32,)</f>
        <v>0</v>
      </c>
      <c r="AA32" s="1">
        <f>IFERROR(Table2[[#This Row],[NFI_PIN]]*$V32,)</f>
        <v>0</v>
      </c>
      <c r="AB32" s="1">
        <f>IFERROR(Table2[[#This Row],[Nutrition_PIN]]*$V32,)</f>
        <v>0</v>
      </c>
      <c r="AC32" s="1">
        <f>IFERROR(Table2[[#This Row],[Education_PIN]]*$V32,)</f>
        <v>0</v>
      </c>
      <c r="AD32" s="1">
        <f>IFERROR(Table2[[#This Row],[Shelter_PIN]]*$V32,)</f>
        <v>0</v>
      </c>
      <c r="AE32" s="1">
        <f>IFERROR(Table2[[#This Row],[WASH_PIN]]*$V32,)</f>
        <v>0</v>
      </c>
      <c r="AF32" s="1">
        <f>IFERROR(Table2[[#This Row],[WASH_acute_PIN]]*$V32,)</f>
        <v>0</v>
      </c>
      <c r="AG32" s="1">
        <f>IFERROR(Table2[[#This Row],[Protection_PIN]]*$V32,)</f>
        <v>0</v>
      </c>
      <c r="AH32" s="1">
        <f>IFERROR(Table2[[#This Row],[Food_PIN]]*$V32,)</f>
        <v>0</v>
      </c>
      <c r="AI32" s="1">
        <f>IFERROR(Table2[[#This Row],[Protection_CP_PIN]]*$V32,)</f>
        <v>0</v>
      </c>
      <c r="AJ32" s="1">
        <f>IFERROR(Table2[[#This Row],[Protection_GBV_PIN]]*$V32,)</f>
        <v>0</v>
      </c>
      <c r="AK32" s="1">
        <f>IFERROR(Table2[[#This Row],[Protection_MA_PIN]]*$V32,)</f>
        <v>0</v>
      </c>
      <c r="AL32" s="1">
        <f>IFERROR(Table2[[#This Row],[Health_PIN]]*$W32,)</f>
        <v>0</v>
      </c>
      <c r="AM32" s="1">
        <f>IFERROR(Table2[[#This Row],[CCCM_PIN]]*$W32,)</f>
        <v>0</v>
      </c>
      <c r="AN32" s="1">
        <f>IFERROR(Table2[[#This Row],[ERL_PIN]]*$W32,)</f>
        <v>0</v>
      </c>
      <c r="AO32" s="1">
        <f>IFERROR(Table2[[#This Row],[NFI_PIN]]*$W32,)</f>
        <v>0</v>
      </c>
      <c r="AP32" s="1">
        <f>IFERROR(Table2[[#This Row],[Nutrition_PIN]]*$W32,)</f>
        <v>0</v>
      </c>
      <c r="AQ32" s="1">
        <f>IFERROR(Table2[[#This Row],[Education_PIN]]*$W32,)</f>
        <v>0</v>
      </c>
      <c r="AR32" s="1">
        <f>IFERROR(Table2[[#This Row],[Shelter_PIN]]*$W32,)</f>
        <v>0</v>
      </c>
      <c r="AS32" s="1">
        <f>IFERROR(Table2[[#This Row],[WASH_PIN]]*$W32,)</f>
        <v>0</v>
      </c>
      <c r="AT32" s="1">
        <f>IFERROR(Table2[[#This Row],[WASH_acute_PIN]]*$W32,)</f>
        <v>0</v>
      </c>
      <c r="AU32" s="1">
        <f>IFERROR(Table2[[#This Row],[Protection_PIN]]*$W32,)</f>
        <v>0</v>
      </c>
      <c r="AV32" s="1">
        <f>IFERROR(Table2[[#This Row],[Food_PIN]]*$W32,)</f>
        <v>0</v>
      </c>
      <c r="AW32" s="1">
        <f>IFERROR(Table2[[#This Row],[Protection_CP_PIN]]*$W32,)</f>
        <v>0</v>
      </c>
      <c r="AX32" s="1">
        <f>IFERROR(Table2[[#This Row],[Protection_GBV_PIN]]*$W32,)</f>
        <v>0</v>
      </c>
      <c r="AY32" s="1">
        <f>IFERROR(Table2[[#This Row],[Protection_MA_PIN]]*$W32,)</f>
        <v>0</v>
      </c>
      <c r="AZ32" s="1">
        <v>1</v>
      </c>
      <c r="BA32" s="1">
        <v>4</v>
      </c>
      <c r="BB32" s="1">
        <v>4</v>
      </c>
      <c r="BC32" s="1">
        <v>2</v>
      </c>
      <c r="BD32" s="1">
        <v>3</v>
      </c>
      <c r="BE32" s="1">
        <v>2</v>
      </c>
      <c r="BF32" s="1">
        <v>2</v>
      </c>
      <c r="BG32" s="1">
        <v>3</v>
      </c>
      <c r="BH32" s="1">
        <v>2</v>
      </c>
      <c r="BI32" s="1">
        <v>2</v>
      </c>
      <c r="BJ32" s="1">
        <v>3</v>
      </c>
      <c r="BK32" s="1" t="s">
        <v>665</v>
      </c>
      <c r="BL32" s="1">
        <v>2</v>
      </c>
    </row>
    <row r="33" spans="1:64" x14ac:dyDescent="0.35">
      <c r="A33" t="s">
        <v>12</v>
      </c>
      <c r="B33" t="s">
        <v>673</v>
      </c>
      <c r="C33" t="s">
        <v>13</v>
      </c>
      <c r="D33" t="s">
        <v>50</v>
      </c>
      <c r="E33" t="s">
        <v>703</v>
      </c>
      <c r="F33" t="s">
        <v>51</v>
      </c>
      <c r="G33" t="s">
        <v>50</v>
      </c>
      <c r="H33" s="1">
        <v>0</v>
      </c>
      <c r="I33" s="1" t="s">
        <v>665</v>
      </c>
      <c r="J33" s="1">
        <v>25824</v>
      </c>
      <c r="K33" s="1">
        <v>5810</v>
      </c>
      <c r="L33" s="1">
        <v>5239.4837023744121</v>
      </c>
      <c r="M33" s="1">
        <v>11424.533333333333</v>
      </c>
      <c r="N33" s="1">
        <v>0</v>
      </c>
      <c r="O33" s="1">
        <v>1592.3466134544369</v>
      </c>
      <c r="P33" s="1">
        <v>0</v>
      </c>
      <c r="Q33" s="1">
        <v>8714</v>
      </c>
      <c r="R33" s="1">
        <v>18289.481481481482</v>
      </c>
      <c r="S33" s="1">
        <v>3800.3999999999996</v>
      </c>
      <c r="T33" s="1">
        <v>4239</v>
      </c>
      <c r="U33" s="1" t="s">
        <v>665</v>
      </c>
      <c r="V33" s="3">
        <f>_xlfn.XLOOKUP(Table2[[#This Row],[admin3Pcode]],'Inter-sector dataset'!F:F,'Inter-sector dataset'!Q:Q)</f>
        <v>0</v>
      </c>
      <c r="W33" s="3">
        <f>_xlfn.XLOOKUP(Table2[[#This Row],[admin3Pcode]],'Inter-sector dataset'!F:F,'Inter-sector dataset'!R:R)</f>
        <v>0</v>
      </c>
      <c r="X33" s="1">
        <f>IFERROR(Table2[[#This Row],[Health_PIN]]*$V33,)</f>
        <v>0</v>
      </c>
      <c r="Y33" s="1">
        <f>IFERROR(Table2[[#This Row],[CCCM_PIN]]*$V33,)</f>
        <v>0</v>
      </c>
      <c r="Z33" s="1">
        <f>IFERROR(Table2[[#This Row],[ERL_PIN]]*$V33,)</f>
        <v>0</v>
      </c>
      <c r="AA33" s="1">
        <f>IFERROR(Table2[[#This Row],[NFI_PIN]]*$V33,)</f>
        <v>0</v>
      </c>
      <c r="AB33" s="1">
        <f>IFERROR(Table2[[#This Row],[Nutrition_PIN]]*$V33,)</f>
        <v>0</v>
      </c>
      <c r="AC33" s="1">
        <f>IFERROR(Table2[[#This Row],[Education_PIN]]*$V33,)</f>
        <v>0</v>
      </c>
      <c r="AD33" s="1">
        <f>IFERROR(Table2[[#This Row],[Shelter_PIN]]*$V33,)</f>
        <v>0</v>
      </c>
      <c r="AE33" s="1">
        <f>IFERROR(Table2[[#This Row],[WASH_PIN]]*$V33,)</f>
        <v>0</v>
      </c>
      <c r="AF33" s="1">
        <f>IFERROR(Table2[[#This Row],[WASH_acute_PIN]]*$V33,)</f>
        <v>0</v>
      </c>
      <c r="AG33" s="1">
        <f>IFERROR(Table2[[#This Row],[Protection_PIN]]*$V33,)</f>
        <v>0</v>
      </c>
      <c r="AH33" s="1">
        <f>IFERROR(Table2[[#This Row],[Food_PIN]]*$V33,)</f>
        <v>0</v>
      </c>
      <c r="AI33" s="1">
        <f>IFERROR(Table2[[#This Row],[Protection_CP_PIN]]*$V33,)</f>
        <v>0</v>
      </c>
      <c r="AJ33" s="1">
        <f>IFERROR(Table2[[#This Row],[Protection_GBV_PIN]]*$V33,)</f>
        <v>0</v>
      </c>
      <c r="AK33" s="1">
        <f>IFERROR(Table2[[#This Row],[Protection_MA_PIN]]*$V33,)</f>
        <v>0</v>
      </c>
      <c r="AL33" s="1">
        <f>IFERROR(Table2[[#This Row],[Health_PIN]]*$W33,)</f>
        <v>0</v>
      </c>
      <c r="AM33" s="1">
        <f>IFERROR(Table2[[#This Row],[CCCM_PIN]]*$W33,)</f>
        <v>0</v>
      </c>
      <c r="AN33" s="1">
        <f>IFERROR(Table2[[#This Row],[ERL_PIN]]*$W33,)</f>
        <v>0</v>
      </c>
      <c r="AO33" s="1">
        <f>IFERROR(Table2[[#This Row],[NFI_PIN]]*$W33,)</f>
        <v>0</v>
      </c>
      <c r="AP33" s="1">
        <f>IFERROR(Table2[[#This Row],[Nutrition_PIN]]*$W33,)</f>
        <v>0</v>
      </c>
      <c r="AQ33" s="1">
        <f>IFERROR(Table2[[#This Row],[Education_PIN]]*$W33,)</f>
        <v>0</v>
      </c>
      <c r="AR33" s="1">
        <f>IFERROR(Table2[[#This Row],[Shelter_PIN]]*$W33,)</f>
        <v>0</v>
      </c>
      <c r="AS33" s="1">
        <f>IFERROR(Table2[[#This Row],[WASH_PIN]]*$W33,)</f>
        <v>0</v>
      </c>
      <c r="AT33" s="1">
        <f>IFERROR(Table2[[#This Row],[WASH_acute_PIN]]*$W33,)</f>
        <v>0</v>
      </c>
      <c r="AU33" s="1">
        <f>IFERROR(Table2[[#This Row],[Protection_PIN]]*$W33,)</f>
        <v>0</v>
      </c>
      <c r="AV33" s="1">
        <f>IFERROR(Table2[[#This Row],[Food_PIN]]*$W33,)</f>
        <v>0</v>
      </c>
      <c r="AW33" s="1">
        <f>IFERROR(Table2[[#This Row],[Protection_CP_PIN]]*$W33,)</f>
        <v>0</v>
      </c>
      <c r="AX33" s="1">
        <f>IFERROR(Table2[[#This Row],[Protection_GBV_PIN]]*$W33,)</f>
        <v>0</v>
      </c>
      <c r="AY33" s="1">
        <f>IFERROR(Table2[[#This Row],[Protection_MA_PIN]]*$W33,)</f>
        <v>0</v>
      </c>
      <c r="AZ33" s="1">
        <v>1</v>
      </c>
      <c r="BA33" s="1">
        <v>4</v>
      </c>
      <c r="BB33" s="1">
        <v>4</v>
      </c>
      <c r="BC33" s="1">
        <v>2</v>
      </c>
      <c r="BD33" s="1">
        <v>3</v>
      </c>
      <c r="BE33" s="1">
        <v>2</v>
      </c>
      <c r="BF33" s="1">
        <v>2</v>
      </c>
      <c r="BG33" s="1">
        <v>3</v>
      </c>
      <c r="BH33" s="1">
        <v>2</v>
      </c>
      <c r="BI33" s="1">
        <v>2</v>
      </c>
      <c r="BJ33" s="1">
        <v>3</v>
      </c>
      <c r="BK33" s="1" t="s">
        <v>665</v>
      </c>
      <c r="BL33" s="1">
        <v>2</v>
      </c>
    </row>
    <row r="34" spans="1:64" x14ac:dyDescent="0.35">
      <c r="A34" t="s">
        <v>17</v>
      </c>
      <c r="B34" t="s">
        <v>663</v>
      </c>
      <c r="C34" t="s">
        <v>18</v>
      </c>
      <c r="D34" t="s">
        <v>520</v>
      </c>
      <c r="E34" t="s">
        <v>704</v>
      </c>
      <c r="F34" t="s">
        <v>521</v>
      </c>
      <c r="G34" t="s">
        <v>520</v>
      </c>
      <c r="H34" s="1">
        <v>0</v>
      </c>
      <c r="I34" s="1" t="s">
        <v>665</v>
      </c>
      <c r="J34" s="1">
        <v>33306</v>
      </c>
      <c r="K34" s="1">
        <v>0</v>
      </c>
      <c r="L34" s="1">
        <v>9633.9094144411283</v>
      </c>
      <c r="M34" s="1">
        <v>2054.2104233368905</v>
      </c>
      <c r="N34" s="1">
        <v>0</v>
      </c>
      <c r="O34" s="1">
        <v>288.33333333333354</v>
      </c>
      <c r="P34" s="1">
        <v>0</v>
      </c>
      <c r="Q34" s="1">
        <v>13213</v>
      </c>
      <c r="R34" s="1">
        <v>25692.333333333332</v>
      </c>
      <c r="S34" s="1">
        <v>7120.8000000000011</v>
      </c>
      <c r="T34" s="1">
        <v>4655</v>
      </c>
      <c r="U34" s="1" t="s">
        <v>665</v>
      </c>
      <c r="V34" s="3">
        <f>_xlfn.XLOOKUP(Table2[[#This Row],[admin3Pcode]],'Inter-sector dataset'!F:F,'Inter-sector dataset'!Q:Q)</f>
        <v>0</v>
      </c>
      <c r="W34" s="3">
        <f>_xlfn.XLOOKUP(Table2[[#This Row],[admin3Pcode]],'Inter-sector dataset'!F:F,'Inter-sector dataset'!R:R)</f>
        <v>0</v>
      </c>
      <c r="X34" s="1">
        <f>IFERROR(Table2[[#This Row],[Health_PIN]]*$V34,)</f>
        <v>0</v>
      </c>
      <c r="Y34" s="1">
        <f>IFERROR(Table2[[#This Row],[CCCM_PIN]]*$V34,)</f>
        <v>0</v>
      </c>
      <c r="Z34" s="1">
        <f>IFERROR(Table2[[#This Row],[ERL_PIN]]*$V34,)</f>
        <v>0</v>
      </c>
      <c r="AA34" s="1">
        <f>IFERROR(Table2[[#This Row],[NFI_PIN]]*$V34,)</f>
        <v>0</v>
      </c>
      <c r="AB34" s="1">
        <f>IFERROR(Table2[[#This Row],[Nutrition_PIN]]*$V34,)</f>
        <v>0</v>
      </c>
      <c r="AC34" s="1">
        <f>IFERROR(Table2[[#This Row],[Education_PIN]]*$V34,)</f>
        <v>0</v>
      </c>
      <c r="AD34" s="1">
        <f>IFERROR(Table2[[#This Row],[Shelter_PIN]]*$V34,)</f>
        <v>0</v>
      </c>
      <c r="AE34" s="1">
        <f>IFERROR(Table2[[#This Row],[WASH_PIN]]*$V34,)</f>
        <v>0</v>
      </c>
      <c r="AF34" s="1">
        <f>IFERROR(Table2[[#This Row],[WASH_acute_PIN]]*$V34,)</f>
        <v>0</v>
      </c>
      <c r="AG34" s="1">
        <f>IFERROR(Table2[[#This Row],[Protection_PIN]]*$V34,)</f>
        <v>0</v>
      </c>
      <c r="AH34" s="1">
        <f>IFERROR(Table2[[#This Row],[Food_PIN]]*$V34,)</f>
        <v>0</v>
      </c>
      <c r="AI34" s="1">
        <f>IFERROR(Table2[[#This Row],[Protection_CP_PIN]]*$V34,)</f>
        <v>0</v>
      </c>
      <c r="AJ34" s="1">
        <f>IFERROR(Table2[[#This Row],[Protection_GBV_PIN]]*$V34,)</f>
        <v>0</v>
      </c>
      <c r="AK34" s="1">
        <f>IFERROR(Table2[[#This Row],[Protection_MA_PIN]]*$V34,)</f>
        <v>0</v>
      </c>
      <c r="AL34" s="1">
        <f>IFERROR(Table2[[#This Row],[Health_PIN]]*$W34,)</f>
        <v>0</v>
      </c>
      <c r="AM34" s="1">
        <f>IFERROR(Table2[[#This Row],[CCCM_PIN]]*$W34,)</f>
        <v>0</v>
      </c>
      <c r="AN34" s="1">
        <f>IFERROR(Table2[[#This Row],[ERL_PIN]]*$W34,)</f>
        <v>0</v>
      </c>
      <c r="AO34" s="1">
        <f>IFERROR(Table2[[#This Row],[NFI_PIN]]*$W34,)</f>
        <v>0</v>
      </c>
      <c r="AP34" s="1">
        <f>IFERROR(Table2[[#This Row],[Nutrition_PIN]]*$W34,)</f>
        <v>0</v>
      </c>
      <c r="AQ34" s="1">
        <f>IFERROR(Table2[[#This Row],[Education_PIN]]*$W34,)</f>
        <v>0</v>
      </c>
      <c r="AR34" s="1">
        <f>IFERROR(Table2[[#This Row],[Shelter_PIN]]*$W34,)</f>
        <v>0</v>
      </c>
      <c r="AS34" s="1">
        <f>IFERROR(Table2[[#This Row],[WASH_PIN]]*$W34,)</f>
        <v>0</v>
      </c>
      <c r="AT34" s="1">
        <f>IFERROR(Table2[[#This Row],[WASH_acute_PIN]]*$W34,)</f>
        <v>0</v>
      </c>
      <c r="AU34" s="1">
        <f>IFERROR(Table2[[#This Row],[Protection_PIN]]*$W34,)</f>
        <v>0</v>
      </c>
      <c r="AV34" s="1">
        <f>IFERROR(Table2[[#This Row],[Food_PIN]]*$W34,)</f>
        <v>0</v>
      </c>
      <c r="AW34" s="1">
        <f>IFERROR(Table2[[#This Row],[Protection_CP_PIN]]*$W34,)</f>
        <v>0</v>
      </c>
      <c r="AX34" s="1">
        <f>IFERROR(Table2[[#This Row],[Protection_GBV_PIN]]*$W34,)</f>
        <v>0</v>
      </c>
      <c r="AY34" s="1">
        <f>IFERROR(Table2[[#This Row],[Protection_MA_PIN]]*$W34,)</f>
        <v>0</v>
      </c>
      <c r="AZ34" s="1">
        <v>1</v>
      </c>
      <c r="BA34" s="1">
        <v>1</v>
      </c>
      <c r="BB34" s="1">
        <v>4</v>
      </c>
      <c r="BC34" s="1">
        <v>1</v>
      </c>
      <c r="BD34" s="1">
        <v>3</v>
      </c>
      <c r="BE34" s="1">
        <v>2</v>
      </c>
      <c r="BF34" s="1">
        <v>2</v>
      </c>
      <c r="BG34" s="1">
        <v>3</v>
      </c>
      <c r="BH34" s="1">
        <v>1</v>
      </c>
      <c r="BI34" s="1">
        <v>2</v>
      </c>
      <c r="BJ34" s="1">
        <v>3</v>
      </c>
      <c r="BK34" s="1" t="s">
        <v>665</v>
      </c>
      <c r="BL34" s="1">
        <v>2</v>
      </c>
    </row>
    <row r="35" spans="1:64" x14ac:dyDescent="0.35">
      <c r="A35" t="s">
        <v>12</v>
      </c>
      <c r="B35" t="s">
        <v>673</v>
      </c>
      <c r="C35" t="s">
        <v>13</v>
      </c>
      <c r="D35" t="s">
        <v>74</v>
      </c>
      <c r="E35" t="s">
        <v>705</v>
      </c>
      <c r="F35" t="s">
        <v>91</v>
      </c>
      <c r="G35" t="s">
        <v>74</v>
      </c>
      <c r="H35" s="1">
        <v>22452.5</v>
      </c>
      <c r="I35" s="1" t="s">
        <v>665</v>
      </c>
      <c r="J35" s="1">
        <v>22988</v>
      </c>
      <c r="K35" s="1">
        <v>8981</v>
      </c>
      <c r="L35" s="1">
        <v>9608.9105050886483</v>
      </c>
      <c r="M35" s="1">
        <v>2852.8210604399687</v>
      </c>
      <c r="N35" s="1">
        <v>0</v>
      </c>
      <c r="O35" s="1">
        <v>2670.7323371272696</v>
      </c>
      <c r="P35" s="1">
        <v>0</v>
      </c>
      <c r="Q35" s="1">
        <v>13472</v>
      </c>
      <c r="R35" s="1">
        <v>24947.222222222219</v>
      </c>
      <c r="S35" s="1">
        <v>5460.4</v>
      </c>
      <c r="T35" s="1">
        <v>7064</v>
      </c>
      <c r="U35" s="1" t="s">
        <v>665</v>
      </c>
      <c r="V35" s="3">
        <f>_xlfn.XLOOKUP(Table2[[#This Row],[admin3Pcode]],'Inter-sector dataset'!F:F,'Inter-sector dataset'!Q:Q)</f>
        <v>0</v>
      </c>
      <c r="W35" s="3">
        <f>_xlfn.XLOOKUP(Table2[[#This Row],[admin3Pcode]],'Inter-sector dataset'!F:F,'Inter-sector dataset'!R:R)</f>
        <v>0</v>
      </c>
      <c r="X35" s="1">
        <f>IFERROR(Table2[[#This Row],[Health_PIN]]*$V35,)</f>
        <v>0</v>
      </c>
      <c r="Y35" s="1">
        <f>IFERROR(Table2[[#This Row],[CCCM_PIN]]*$V35,)</f>
        <v>0</v>
      </c>
      <c r="Z35" s="1">
        <f>IFERROR(Table2[[#This Row],[ERL_PIN]]*$V35,)</f>
        <v>0</v>
      </c>
      <c r="AA35" s="1">
        <f>IFERROR(Table2[[#This Row],[NFI_PIN]]*$V35,)</f>
        <v>0</v>
      </c>
      <c r="AB35" s="1">
        <f>IFERROR(Table2[[#This Row],[Nutrition_PIN]]*$V35,)</f>
        <v>0</v>
      </c>
      <c r="AC35" s="1">
        <f>IFERROR(Table2[[#This Row],[Education_PIN]]*$V35,)</f>
        <v>0</v>
      </c>
      <c r="AD35" s="1">
        <f>IFERROR(Table2[[#This Row],[Shelter_PIN]]*$V35,)</f>
        <v>0</v>
      </c>
      <c r="AE35" s="1">
        <f>IFERROR(Table2[[#This Row],[WASH_PIN]]*$V35,)</f>
        <v>0</v>
      </c>
      <c r="AF35" s="1">
        <f>IFERROR(Table2[[#This Row],[WASH_acute_PIN]]*$V35,)</f>
        <v>0</v>
      </c>
      <c r="AG35" s="1">
        <f>IFERROR(Table2[[#This Row],[Protection_PIN]]*$V35,)</f>
        <v>0</v>
      </c>
      <c r="AH35" s="1">
        <f>IFERROR(Table2[[#This Row],[Food_PIN]]*$V35,)</f>
        <v>0</v>
      </c>
      <c r="AI35" s="1">
        <f>IFERROR(Table2[[#This Row],[Protection_CP_PIN]]*$V35,)</f>
        <v>0</v>
      </c>
      <c r="AJ35" s="1">
        <f>IFERROR(Table2[[#This Row],[Protection_GBV_PIN]]*$V35,)</f>
        <v>0</v>
      </c>
      <c r="AK35" s="1">
        <f>IFERROR(Table2[[#This Row],[Protection_MA_PIN]]*$V35,)</f>
        <v>0</v>
      </c>
      <c r="AL35" s="1">
        <f>IFERROR(Table2[[#This Row],[Health_PIN]]*$W35,)</f>
        <v>0</v>
      </c>
      <c r="AM35" s="1">
        <f>IFERROR(Table2[[#This Row],[CCCM_PIN]]*$W35,)</f>
        <v>0</v>
      </c>
      <c r="AN35" s="1">
        <f>IFERROR(Table2[[#This Row],[ERL_PIN]]*$W35,)</f>
        <v>0</v>
      </c>
      <c r="AO35" s="1">
        <f>IFERROR(Table2[[#This Row],[NFI_PIN]]*$W35,)</f>
        <v>0</v>
      </c>
      <c r="AP35" s="1">
        <f>IFERROR(Table2[[#This Row],[Nutrition_PIN]]*$W35,)</f>
        <v>0</v>
      </c>
      <c r="AQ35" s="1">
        <f>IFERROR(Table2[[#This Row],[Education_PIN]]*$W35,)</f>
        <v>0</v>
      </c>
      <c r="AR35" s="1">
        <f>IFERROR(Table2[[#This Row],[Shelter_PIN]]*$W35,)</f>
        <v>0</v>
      </c>
      <c r="AS35" s="1">
        <f>IFERROR(Table2[[#This Row],[WASH_PIN]]*$W35,)</f>
        <v>0</v>
      </c>
      <c r="AT35" s="1">
        <f>IFERROR(Table2[[#This Row],[WASH_acute_PIN]]*$W35,)</f>
        <v>0</v>
      </c>
      <c r="AU35" s="1">
        <f>IFERROR(Table2[[#This Row],[Protection_PIN]]*$W35,)</f>
        <v>0</v>
      </c>
      <c r="AV35" s="1">
        <f>IFERROR(Table2[[#This Row],[Food_PIN]]*$W35,)</f>
        <v>0</v>
      </c>
      <c r="AW35" s="1">
        <f>IFERROR(Table2[[#This Row],[Protection_CP_PIN]]*$W35,)</f>
        <v>0</v>
      </c>
      <c r="AX35" s="1">
        <f>IFERROR(Table2[[#This Row],[Protection_GBV_PIN]]*$W35,)</f>
        <v>0</v>
      </c>
      <c r="AY35" s="1">
        <f>IFERROR(Table2[[#This Row],[Protection_MA_PIN]]*$W35,)</f>
        <v>0</v>
      </c>
      <c r="AZ35" s="1">
        <v>1</v>
      </c>
      <c r="BA35" s="1">
        <v>4</v>
      </c>
      <c r="BB35" s="1">
        <v>4</v>
      </c>
      <c r="BC35" s="1">
        <v>2</v>
      </c>
      <c r="BD35" s="1">
        <v>3</v>
      </c>
      <c r="BE35" s="1">
        <v>3</v>
      </c>
      <c r="BF35" s="1">
        <v>2</v>
      </c>
      <c r="BG35" s="1">
        <v>3</v>
      </c>
      <c r="BH35" s="1">
        <v>2</v>
      </c>
      <c r="BI35" s="1">
        <v>2</v>
      </c>
      <c r="BJ35" s="1">
        <v>3</v>
      </c>
      <c r="BK35" s="1" t="s">
        <v>665</v>
      </c>
      <c r="BL35" s="1">
        <v>2</v>
      </c>
    </row>
    <row r="36" spans="1:64" x14ac:dyDescent="0.35">
      <c r="A36" t="s">
        <v>6</v>
      </c>
      <c r="B36" t="s">
        <v>667</v>
      </c>
      <c r="C36" t="s">
        <v>7</v>
      </c>
      <c r="D36" t="s">
        <v>22</v>
      </c>
      <c r="E36" t="s">
        <v>706</v>
      </c>
      <c r="F36" t="s">
        <v>117</v>
      </c>
      <c r="G36" t="s">
        <v>22</v>
      </c>
      <c r="H36" s="1">
        <v>24504.5</v>
      </c>
      <c r="I36" s="1" t="s">
        <v>665</v>
      </c>
      <c r="J36" s="1">
        <v>44458</v>
      </c>
      <c r="K36" s="1">
        <v>6298</v>
      </c>
      <c r="L36" s="1">
        <v>11757.678190616227</v>
      </c>
      <c r="M36" s="1">
        <v>14294.616666666667</v>
      </c>
      <c r="N36" s="1">
        <v>7600</v>
      </c>
      <c r="O36" s="1">
        <v>43447.939726297598</v>
      </c>
      <c r="P36" s="1">
        <v>1238</v>
      </c>
      <c r="Q36" s="1">
        <v>14703</v>
      </c>
      <c r="R36" s="1">
        <v>11798.462962962964</v>
      </c>
      <c r="S36" s="1">
        <v>9117.6</v>
      </c>
      <c r="T36" s="1">
        <v>8147</v>
      </c>
      <c r="U36" s="1" t="s">
        <v>665</v>
      </c>
      <c r="V36" s="3">
        <f>_xlfn.XLOOKUP(Table2[[#This Row],[admin3Pcode]],'Inter-sector dataset'!F:F,'Inter-sector dataset'!Q:Q)</f>
        <v>0</v>
      </c>
      <c r="W36" s="3">
        <f>_xlfn.XLOOKUP(Table2[[#This Row],[admin3Pcode]],'Inter-sector dataset'!F:F,'Inter-sector dataset'!R:R)</f>
        <v>0</v>
      </c>
      <c r="X36" s="1">
        <f>IFERROR(Table2[[#This Row],[Health_PIN]]*$V36,)</f>
        <v>0</v>
      </c>
      <c r="Y36" s="1">
        <f>IFERROR(Table2[[#This Row],[CCCM_PIN]]*$V36,)</f>
        <v>0</v>
      </c>
      <c r="Z36" s="1">
        <f>IFERROR(Table2[[#This Row],[ERL_PIN]]*$V36,)</f>
        <v>0</v>
      </c>
      <c r="AA36" s="1">
        <f>IFERROR(Table2[[#This Row],[NFI_PIN]]*$V36,)</f>
        <v>0</v>
      </c>
      <c r="AB36" s="1">
        <f>IFERROR(Table2[[#This Row],[Nutrition_PIN]]*$V36,)</f>
        <v>0</v>
      </c>
      <c r="AC36" s="1">
        <f>IFERROR(Table2[[#This Row],[Education_PIN]]*$V36,)</f>
        <v>0</v>
      </c>
      <c r="AD36" s="1">
        <f>IFERROR(Table2[[#This Row],[Shelter_PIN]]*$V36,)</f>
        <v>0</v>
      </c>
      <c r="AE36" s="1">
        <f>IFERROR(Table2[[#This Row],[WASH_PIN]]*$V36,)</f>
        <v>0</v>
      </c>
      <c r="AF36" s="1">
        <f>IFERROR(Table2[[#This Row],[WASH_acute_PIN]]*$V36,)</f>
        <v>0</v>
      </c>
      <c r="AG36" s="1">
        <f>IFERROR(Table2[[#This Row],[Protection_PIN]]*$V36,)</f>
        <v>0</v>
      </c>
      <c r="AH36" s="1">
        <f>IFERROR(Table2[[#This Row],[Food_PIN]]*$V36,)</f>
        <v>0</v>
      </c>
      <c r="AI36" s="1">
        <f>IFERROR(Table2[[#This Row],[Protection_CP_PIN]]*$V36,)</f>
        <v>0</v>
      </c>
      <c r="AJ36" s="1">
        <f>IFERROR(Table2[[#This Row],[Protection_GBV_PIN]]*$V36,)</f>
        <v>0</v>
      </c>
      <c r="AK36" s="1">
        <f>IFERROR(Table2[[#This Row],[Protection_MA_PIN]]*$V36,)</f>
        <v>0</v>
      </c>
      <c r="AL36" s="1">
        <f>IFERROR(Table2[[#This Row],[Health_PIN]]*$W36,)</f>
        <v>0</v>
      </c>
      <c r="AM36" s="1">
        <f>IFERROR(Table2[[#This Row],[CCCM_PIN]]*$W36,)</f>
        <v>0</v>
      </c>
      <c r="AN36" s="1">
        <f>IFERROR(Table2[[#This Row],[ERL_PIN]]*$W36,)</f>
        <v>0</v>
      </c>
      <c r="AO36" s="1">
        <f>IFERROR(Table2[[#This Row],[NFI_PIN]]*$W36,)</f>
        <v>0</v>
      </c>
      <c r="AP36" s="1">
        <f>IFERROR(Table2[[#This Row],[Nutrition_PIN]]*$W36,)</f>
        <v>0</v>
      </c>
      <c r="AQ36" s="1">
        <f>IFERROR(Table2[[#This Row],[Education_PIN]]*$W36,)</f>
        <v>0</v>
      </c>
      <c r="AR36" s="1">
        <f>IFERROR(Table2[[#This Row],[Shelter_PIN]]*$W36,)</f>
        <v>0</v>
      </c>
      <c r="AS36" s="1">
        <f>IFERROR(Table2[[#This Row],[WASH_PIN]]*$W36,)</f>
        <v>0</v>
      </c>
      <c r="AT36" s="1">
        <f>IFERROR(Table2[[#This Row],[WASH_acute_PIN]]*$W36,)</f>
        <v>0</v>
      </c>
      <c r="AU36" s="1">
        <f>IFERROR(Table2[[#This Row],[Protection_PIN]]*$W36,)</f>
        <v>0</v>
      </c>
      <c r="AV36" s="1">
        <f>IFERROR(Table2[[#This Row],[Food_PIN]]*$W36,)</f>
        <v>0</v>
      </c>
      <c r="AW36" s="1">
        <f>IFERROR(Table2[[#This Row],[Protection_CP_PIN]]*$W36,)</f>
        <v>0</v>
      </c>
      <c r="AX36" s="1">
        <f>IFERROR(Table2[[#This Row],[Protection_GBV_PIN]]*$W36,)</f>
        <v>0</v>
      </c>
      <c r="AY36" s="1">
        <f>IFERROR(Table2[[#This Row],[Protection_MA_PIN]]*$W36,)</f>
        <v>0</v>
      </c>
      <c r="AZ36" s="1">
        <v>2</v>
      </c>
      <c r="BA36" s="1">
        <v>3</v>
      </c>
      <c r="BB36" s="1">
        <v>4</v>
      </c>
      <c r="BC36" s="1">
        <v>2</v>
      </c>
      <c r="BD36" s="1">
        <v>3</v>
      </c>
      <c r="BE36" s="1">
        <v>3</v>
      </c>
      <c r="BF36" s="1">
        <v>2</v>
      </c>
      <c r="BG36" s="1">
        <v>3</v>
      </c>
      <c r="BH36" s="1">
        <v>2</v>
      </c>
      <c r="BI36" s="1">
        <v>2</v>
      </c>
      <c r="BJ36" s="1">
        <v>3</v>
      </c>
      <c r="BK36" s="1" t="s">
        <v>665</v>
      </c>
      <c r="BL36" s="1">
        <v>3</v>
      </c>
    </row>
    <row r="37" spans="1:64" x14ac:dyDescent="0.35">
      <c r="A37" t="s">
        <v>17</v>
      </c>
      <c r="B37" t="s">
        <v>663</v>
      </c>
      <c r="C37" t="s">
        <v>18</v>
      </c>
      <c r="D37" t="s">
        <v>64</v>
      </c>
      <c r="E37" t="s">
        <v>707</v>
      </c>
      <c r="F37" t="s">
        <v>65</v>
      </c>
      <c r="G37" t="s">
        <v>64</v>
      </c>
      <c r="H37" s="1">
        <v>28492.5</v>
      </c>
      <c r="I37" s="1" t="s">
        <v>665</v>
      </c>
      <c r="J37" s="1">
        <v>33618</v>
      </c>
      <c r="K37" s="1">
        <v>16365</v>
      </c>
      <c r="L37" s="1">
        <v>8409.7256151092515</v>
      </c>
      <c r="M37" s="1">
        <v>645.52011137391526</v>
      </c>
      <c r="N37" s="1">
        <v>11397</v>
      </c>
      <c r="O37" s="1">
        <v>0</v>
      </c>
      <c r="P37" s="1">
        <v>0</v>
      </c>
      <c r="Q37" s="1">
        <v>17096</v>
      </c>
      <c r="R37" s="1">
        <v>33241.25</v>
      </c>
      <c r="S37" s="1">
        <v>7515.2000000000007</v>
      </c>
      <c r="T37" s="1">
        <v>6421</v>
      </c>
      <c r="U37" s="1" t="s">
        <v>665</v>
      </c>
      <c r="V37" s="3">
        <f>_xlfn.XLOOKUP(Table2[[#This Row],[admin3Pcode]],'Inter-sector dataset'!F:F,'Inter-sector dataset'!Q:Q)</f>
        <v>0</v>
      </c>
      <c r="W37" s="3">
        <f>_xlfn.XLOOKUP(Table2[[#This Row],[admin3Pcode]],'Inter-sector dataset'!F:F,'Inter-sector dataset'!R:R)</f>
        <v>0</v>
      </c>
      <c r="X37" s="1">
        <f>IFERROR(Table2[[#This Row],[Health_PIN]]*$V37,)</f>
        <v>0</v>
      </c>
      <c r="Y37" s="1">
        <f>IFERROR(Table2[[#This Row],[CCCM_PIN]]*$V37,)</f>
        <v>0</v>
      </c>
      <c r="Z37" s="1">
        <f>IFERROR(Table2[[#This Row],[ERL_PIN]]*$V37,)</f>
        <v>0</v>
      </c>
      <c r="AA37" s="1">
        <f>IFERROR(Table2[[#This Row],[NFI_PIN]]*$V37,)</f>
        <v>0</v>
      </c>
      <c r="AB37" s="1">
        <f>IFERROR(Table2[[#This Row],[Nutrition_PIN]]*$V37,)</f>
        <v>0</v>
      </c>
      <c r="AC37" s="1">
        <f>IFERROR(Table2[[#This Row],[Education_PIN]]*$V37,)</f>
        <v>0</v>
      </c>
      <c r="AD37" s="1">
        <f>IFERROR(Table2[[#This Row],[Shelter_PIN]]*$V37,)</f>
        <v>0</v>
      </c>
      <c r="AE37" s="1">
        <f>IFERROR(Table2[[#This Row],[WASH_PIN]]*$V37,)</f>
        <v>0</v>
      </c>
      <c r="AF37" s="1">
        <f>IFERROR(Table2[[#This Row],[WASH_acute_PIN]]*$V37,)</f>
        <v>0</v>
      </c>
      <c r="AG37" s="1">
        <f>IFERROR(Table2[[#This Row],[Protection_PIN]]*$V37,)</f>
        <v>0</v>
      </c>
      <c r="AH37" s="1">
        <f>IFERROR(Table2[[#This Row],[Food_PIN]]*$V37,)</f>
        <v>0</v>
      </c>
      <c r="AI37" s="1">
        <f>IFERROR(Table2[[#This Row],[Protection_CP_PIN]]*$V37,)</f>
        <v>0</v>
      </c>
      <c r="AJ37" s="1">
        <f>IFERROR(Table2[[#This Row],[Protection_GBV_PIN]]*$V37,)</f>
        <v>0</v>
      </c>
      <c r="AK37" s="1">
        <f>IFERROR(Table2[[#This Row],[Protection_MA_PIN]]*$V37,)</f>
        <v>0</v>
      </c>
      <c r="AL37" s="1">
        <f>IFERROR(Table2[[#This Row],[Health_PIN]]*$W37,)</f>
        <v>0</v>
      </c>
      <c r="AM37" s="1">
        <f>IFERROR(Table2[[#This Row],[CCCM_PIN]]*$W37,)</f>
        <v>0</v>
      </c>
      <c r="AN37" s="1">
        <f>IFERROR(Table2[[#This Row],[ERL_PIN]]*$W37,)</f>
        <v>0</v>
      </c>
      <c r="AO37" s="1">
        <f>IFERROR(Table2[[#This Row],[NFI_PIN]]*$W37,)</f>
        <v>0</v>
      </c>
      <c r="AP37" s="1">
        <f>IFERROR(Table2[[#This Row],[Nutrition_PIN]]*$W37,)</f>
        <v>0</v>
      </c>
      <c r="AQ37" s="1">
        <f>IFERROR(Table2[[#This Row],[Education_PIN]]*$W37,)</f>
        <v>0</v>
      </c>
      <c r="AR37" s="1">
        <f>IFERROR(Table2[[#This Row],[Shelter_PIN]]*$W37,)</f>
        <v>0</v>
      </c>
      <c r="AS37" s="1">
        <f>IFERROR(Table2[[#This Row],[WASH_PIN]]*$W37,)</f>
        <v>0</v>
      </c>
      <c r="AT37" s="1">
        <f>IFERROR(Table2[[#This Row],[WASH_acute_PIN]]*$W37,)</f>
        <v>0</v>
      </c>
      <c r="AU37" s="1">
        <f>IFERROR(Table2[[#This Row],[Protection_PIN]]*$W37,)</f>
        <v>0</v>
      </c>
      <c r="AV37" s="1">
        <f>IFERROR(Table2[[#This Row],[Food_PIN]]*$W37,)</f>
        <v>0</v>
      </c>
      <c r="AW37" s="1">
        <f>IFERROR(Table2[[#This Row],[Protection_CP_PIN]]*$W37,)</f>
        <v>0</v>
      </c>
      <c r="AX37" s="1">
        <f>IFERROR(Table2[[#This Row],[Protection_GBV_PIN]]*$W37,)</f>
        <v>0</v>
      </c>
      <c r="AY37" s="1">
        <f>IFERROR(Table2[[#This Row],[Protection_MA_PIN]]*$W37,)</f>
        <v>0</v>
      </c>
      <c r="AZ37" s="1">
        <v>2</v>
      </c>
      <c r="BA37" s="1">
        <v>2</v>
      </c>
      <c r="BB37" s="1">
        <v>3</v>
      </c>
      <c r="BC37" s="1">
        <v>3</v>
      </c>
      <c r="BD37" s="1">
        <v>3</v>
      </c>
      <c r="BE37" s="1">
        <v>3</v>
      </c>
      <c r="BF37" s="1">
        <v>2</v>
      </c>
      <c r="BG37" s="1">
        <v>3</v>
      </c>
      <c r="BH37" s="1">
        <v>1</v>
      </c>
      <c r="BI37" s="1">
        <v>2</v>
      </c>
      <c r="BJ37" s="1">
        <v>3</v>
      </c>
      <c r="BK37" s="1" t="s">
        <v>665</v>
      </c>
      <c r="BL37" s="1">
        <v>2</v>
      </c>
    </row>
    <row r="38" spans="1:64" x14ac:dyDescent="0.35">
      <c r="A38" t="s">
        <v>180</v>
      </c>
      <c r="B38" t="s">
        <v>708</v>
      </c>
      <c r="C38" t="s">
        <v>181</v>
      </c>
      <c r="D38" t="s">
        <v>180</v>
      </c>
      <c r="E38" t="s">
        <v>708</v>
      </c>
      <c r="F38" t="s">
        <v>183</v>
      </c>
      <c r="G38" t="s">
        <v>180</v>
      </c>
      <c r="H38" s="1">
        <v>1363887.75</v>
      </c>
      <c r="I38" s="1" t="s">
        <v>665</v>
      </c>
      <c r="J38" s="1">
        <v>944330</v>
      </c>
      <c r="K38" s="1">
        <v>545555</v>
      </c>
      <c r="L38" s="1">
        <v>458403.23446501757</v>
      </c>
      <c r="M38" s="1">
        <v>679742.68333333335</v>
      </c>
      <c r="N38" s="1">
        <v>363703</v>
      </c>
      <c r="O38" s="1">
        <v>840119.40168677119</v>
      </c>
      <c r="P38" s="1">
        <v>153833</v>
      </c>
      <c r="Q38" s="1">
        <v>909259</v>
      </c>
      <c r="R38" s="1">
        <v>1124133.7126261082</v>
      </c>
      <c r="S38" s="1">
        <v>540556.20000000007</v>
      </c>
      <c r="T38" s="1">
        <v>777780</v>
      </c>
      <c r="U38" s="1">
        <v>1816304</v>
      </c>
      <c r="V38" s="3">
        <f>_xlfn.XLOOKUP(Table2[[#This Row],[admin3Pcode]],'Inter-sector dataset'!F:F,'Inter-sector dataset'!Q:Q)</f>
        <v>0</v>
      </c>
      <c r="W38" s="3">
        <f>_xlfn.XLOOKUP(Table2[[#This Row],[admin3Pcode]],'Inter-sector dataset'!F:F,'Inter-sector dataset'!R:R)</f>
        <v>0</v>
      </c>
      <c r="X38" s="1">
        <f>IFERROR(Table2[[#This Row],[Health_PIN]]*$V38,)</f>
        <v>0</v>
      </c>
      <c r="Y38" s="1">
        <f>IFERROR(Table2[[#This Row],[CCCM_PIN]]*$V38,)</f>
        <v>0</v>
      </c>
      <c r="Z38" s="1">
        <f>IFERROR(Table2[[#This Row],[ERL_PIN]]*$V38,)</f>
        <v>0</v>
      </c>
      <c r="AA38" s="1">
        <f>IFERROR(Table2[[#This Row],[NFI_PIN]]*$V38,)</f>
        <v>0</v>
      </c>
      <c r="AB38" s="1">
        <f>IFERROR(Table2[[#This Row],[Nutrition_PIN]]*$V38,)</f>
        <v>0</v>
      </c>
      <c r="AC38" s="1">
        <f>IFERROR(Table2[[#This Row],[Education_PIN]]*$V38,)</f>
        <v>0</v>
      </c>
      <c r="AD38" s="1">
        <f>IFERROR(Table2[[#This Row],[Shelter_PIN]]*$V38,)</f>
        <v>0</v>
      </c>
      <c r="AE38" s="1">
        <f>IFERROR(Table2[[#This Row],[WASH_PIN]]*$V38,)</f>
        <v>0</v>
      </c>
      <c r="AF38" s="1">
        <f>IFERROR(Table2[[#This Row],[WASH_acute_PIN]]*$V38,)</f>
        <v>0</v>
      </c>
      <c r="AG38" s="1">
        <f>IFERROR(Table2[[#This Row],[Protection_PIN]]*$V38,)</f>
        <v>0</v>
      </c>
      <c r="AH38" s="1">
        <f>IFERROR(Table2[[#This Row],[Food_PIN]]*$V38,)</f>
        <v>0</v>
      </c>
      <c r="AI38" s="1">
        <f>IFERROR(Table2[[#This Row],[Protection_CP_PIN]]*$V38,)</f>
        <v>0</v>
      </c>
      <c r="AJ38" s="1">
        <f>IFERROR(Table2[[#This Row],[Protection_GBV_PIN]]*$V38,)</f>
        <v>0</v>
      </c>
      <c r="AK38" s="1">
        <f>IFERROR(Table2[[#This Row],[Protection_MA_PIN]]*$V38,)</f>
        <v>0</v>
      </c>
      <c r="AL38" s="1">
        <f>IFERROR(Table2[[#This Row],[Health_PIN]]*$W38,)</f>
        <v>0</v>
      </c>
      <c r="AM38" s="1">
        <f>IFERROR(Table2[[#This Row],[CCCM_PIN]]*$W38,)</f>
        <v>0</v>
      </c>
      <c r="AN38" s="1">
        <f>IFERROR(Table2[[#This Row],[ERL_PIN]]*$W38,)</f>
        <v>0</v>
      </c>
      <c r="AO38" s="1">
        <f>IFERROR(Table2[[#This Row],[NFI_PIN]]*$W38,)</f>
        <v>0</v>
      </c>
      <c r="AP38" s="1">
        <f>IFERROR(Table2[[#This Row],[Nutrition_PIN]]*$W38,)</f>
        <v>0</v>
      </c>
      <c r="AQ38" s="1">
        <f>IFERROR(Table2[[#This Row],[Education_PIN]]*$W38,)</f>
        <v>0</v>
      </c>
      <c r="AR38" s="1">
        <f>IFERROR(Table2[[#This Row],[Shelter_PIN]]*$W38,)</f>
        <v>0</v>
      </c>
      <c r="AS38" s="1">
        <f>IFERROR(Table2[[#This Row],[WASH_PIN]]*$W38,)</f>
        <v>0</v>
      </c>
      <c r="AT38" s="1">
        <f>IFERROR(Table2[[#This Row],[WASH_acute_PIN]]*$W38,)</f>
        <v>0</v>
      </c>
      <c r="AU38" s="1">
        <f>IFERROR(Table2[[#This Row],[Protection_PIN]]*$W38,)</f>
        <v>0</v>
      </c>
      <c r="AV38" s="1">
        <f>IFERROR(Table2[[#This Row],[Food_PIN]]*$W38,)</f>
        <v>0</v>
      </c>
      <c r="AW38" s="1">
        <f>IFERROR(Table2[[#This Row],[Protection_CP_PIN]]*$W38,)</f>
        <v>0</v>
      </c>
      <c r="AX38" s="1">
        <f>IFERROR(Table2[[#This Row],[Protection_GBV_PIN]]*$W38,)</f>
        <v>0</v>
      </c>
      <c r="AY38" s="1">
        <f>IFERROR(Table2[[#This Row],[Protection_MA_PIN]]*$W38,)</f>
        <v>0</v>
      </c>
      <c r="AZ38" s="1">
        <v>2</v>
      </c>
      <c r="BA38" s="1">
        <v>4</v>
      </c>
      <c r="BB38" s="1">
        <v>3</v>
      </c>
      <c r="BC38" s="1">
        <v>3</v>
      </c>
      <c r="BD38" s="1">
        <v>3</v>
      </c>
      <c r="BE38" s="1">
        <v>4</v>
      </c>
      <c r="BF38" s="1">
        <v>3</v>
      </c>
      <c r="BG38" s="1">
        <v>4</v>
      </c>
      <c r="BH38" s="1">
        <v>4</v>
      </c>
      <c r="BI38" s="1">
        <v>3</v>
      </c>
      <c r="BJ38" s="1">
        <v>4</v>
      </c>
      <c r="BK38" s="1" t="s">
        <v>665</v>
      </c>
      <c r="BL38" s="1">
        <v>3</v>
      </c>
    </row>
    <row r="39" spans="1:64" x14ac:dyDescent="0.35">
      <c r="A39" t="s">
        <v>54</v>
      </c>
      <c r="B39" t="s">
        <v>709</v>
      </c>
      <c r="C39" t="s">
        <v>55</v>
      </c>
      <c r="D39" t="s">
        <v>626</v>
      </c>
      <c r="E39" t="s">
        <v>710</v>
      </c>
      <c r="F39" t="s">
        <v>627</v>
      </c>
      <c r="G39" t="s">
        <v>626</v>
      </c>
      <c r="H39" s="1">
        <v>110.5</v>
      </c>
      <c r="I39" s="1" t="s">
        <v>665</v>
      </c>
      <c r="J39" s="1">
        <v>61</v>
      </c>
      <c r="K39" s="1">
        <v>66</v>
      </c>
      <c r="L39" s="1">
        <v>54.78619159188726</v>
      </c>
      <c r="M39" s="1">
        <v>133.77692307692305</v>
      </c>
      <c r="N39" s="1">
        <v>0</v>
      </c>
      <c r="O39" s="1">
        <v>221</v>
      </c>
      <c r="P39" s="1">
        <v>37</v>
      </c>
      <c r="Q39" s="1">
        <v>111</v>
      </c>
      <c r="R39" s="1">
        <v>163.54</v>
      </c>
      <c r="S39" s="1">
        <v>17.3</v>
      </c>
      <c r="T39" s="1">
        <v>86</v>
      </c>
      <c r="U39" s="1">
        <v>221</v>
      </c>
      <c r="V39" s="3">
        <f>_xlfn.XLOOKUP(Table2[[#This Row],[admin3Pcode]],'Inter-sector dataset'!F:F,'Inter-sector dataset'!Q:Q)</f>
        <v>0</v>
      </c>
      <c r="W39" s="3">
        <f>_xlfn.XLOOKUP(Table2[[#This Row],[admin3Pcode]],'Inter-sector dataset'!F:F,'Inter-sector dataset'!R:R)</f>
        <v>0</v>
      </c>
      <c r="X39" s="1">
        <f>IFERROR(Table2[[#This Row],[Health_PIN]]*$V39,)</f>
        <v>0</v>
      </c>
      <c r="Y39" s="1">
        <f>IFERROR(Table2[[#This Row],[CCCM_PIN]]*$V39,)</f>
        <v>0</v>
      </c>
      <c r="Z39" s="1">
        <f>IFERROR(Table2[[#This Row],[ERL_PIN]]*$V39,)</f>
        <v>0</v>
      </c>
      <c r="AA39" s="1">
        <f>IFERROR(Table2[[#This Row],[NFI_PIN]]*$V39,)</f>
        <v>0</v>
      </c>
      <c r="AB39" s="1">
        <f>IFERROR(Table2[[#This Row],[Nutrition_PIN]]*$V39,)</f>
        <v>0</v>
      </c>
      <c r="AC39" s="1">
        <f>IFERROR(Table2[[#This Row],[Education_PIN]]*$V39,)</f>
        <v>0</v>
      </c>
      <c r="AD39" s="1">
        <f>IFERROR(Table2[[#This Row],[Shelter_PIN]]*$V39,)</f>
        <v>0</v>
      </c>
      <c r="AE39" s="1">
        <f>IFERROR(Table2[[#This Row],[WASH_PIN]]*$V39,)</f>
        <v>0</v>
      </c>
      <c r="AF39" s="1">
        <f>IFERROR(Table2[[#This Row],[WASH_acute_PIN]]*$V39,)</f>
        <v>0</v>
      </c>
      <c r="AG39" s="1">
        <f>IFERROR(Table2[[#This Row],[Protection_PIN]]*$V39,)</f>
        <v>0</v>
      </c>
      <c r="AH39" s="1">
        <f>IFERROR(Table2[[#This Row],[Food_PIN]]*$V39,)</f>
        <v>0</v>
      </c>
      <c r="AI39" s="1">
        <f>IFERROR(Table2[[#This Row],[Protection_CP_PIN]]*$V39,)</f>
        <v>0</v>
      </c>
      <c r="AJ39" s="1">
        <f>IFERROR(Table2[[#This Row],[Protection_GBV_PIN]]*$V39,)</f>
        <v>0</v>
      </c>
      <c r="AK39" s="1">
        <f>IFERROR(Table2[[#This Row],[Protection_MA_PIN]]*$V39,)</f>
        <v>0</v>
      </c>
      <c r="AL39" s="1">
        <f>IFERROR(Table2[[#This Row],[Health_PIN]]*$W39,)</f>
        <v>0</v>
      </c>
      <c r="AM39" s="1">
        <f>IFERROR(Table2[[#This Row],[CCCM_PIN]]*$W39,)</f>
        <v>0</v>
      </c>
      <c r="AN39" s="1">
        <f>IFERROR(Table2[[#This Row],[ERL_PIN]]*$W39,)</f>
        <v>0</v>
      </c>
      <c r="AO39" s="1">
        <f>IFERROR(Table2[[#This Row],[NFI_PIN]]*$W39,)</f>
        <v>0</v>
      </c>
      <c r="AP39" s="1">
        <f>IFERROR(Table2[[#This Row],[Nutrition_PIN]]*$W39,)</f>
        <v>0</v>
      </c>
      <c r="AQ39" s="1">
        <f>IFERROR(Table2[[#This Row],[Education_PIN]]*$W39,)</f>
        <v>0</v>
      </c>
      <c r="AR39" s="1">
        <f>IFERROR(Table2[[#This Row],[Shelter_PIN]]*$W39,)</f>
        <v>0</v>
      </c>
      <c r="AS39" s="1">
        <f>IFERROR(Table2[[#This Row],[WASH_PIN]]*$W39,)</f>
        <v>0</v>
      </c>
      <c r="AT39" s="1">
        <f>IFERROR(Table2[[#This Row],[WASH_acute_PIN]]*$W39,)</f>
        <v>0</v>
      </c>
      <c r="AU39" s="1">
        <f>IFERROR(Table2[[#This Row],[Protection_PIN]]*$W39,)</f>
        <v>0</v>
      </c>
      <c r="AV39" s="1">
        <f>IFERROR(Table2[[#This Row],[Food_PIN]]*$W39,)</f>
        <v>0</v>
      </c>
      <c r="AW39" s="1">
        <f>IFERROR(Table2[[#This Row],[Protection_CP_PIN]]*$W39,)</f>
        <v>0</v>
      </c>
      <c r="AX39" s="1">
        <f>IFERROR(Table2[[#This Row],[Protection_GBV_PIN]]*$W39,)</f>
        <v>0</v>
      </c>
      <c r="AY39" s="1">
        <f>IFERROR(Table2[[#This Row],[Protection_MA_PIN]]*$W39,)</f>
        <v>0</v>
      </c>
      <c r="AZ39" s="1">
        <v>1</v>
      </c>
      <c r="BA39" s="1">
        <v>4</v>
      </c>
      <c r="BB39" s="1">
        <v>4</v>
      </c>
      <c r="BC39" s="1">
        <v>3</v>
      </c>
      <c r="BD39" s="1">
        <v>3</v>
      </c>
      <c r="BE39" s="1">
        <v>3</v>
      </c>
      <c r="BF39" s="1">
        <v>3</v>
      </c>
      <c r="BG39" s="1">
        <v>2</v>
      </c>
      <c r="BH39" s="1">
        <v>4</v>
      </c>
      <c r="BI39" s="1">
        <v>3</v>
      </c>
      <c r="BJ39" s="1">
        <v>4</v>
      </c>
      <c r="BK39" s="1" t="s">
        <v>665</v>
      </c>
      <c r="BL39" s="1">
        <v>4</v>
      </c>
    </row>
    <row r="40" spans="1:64" x14ac:dyDescent="0.35">
      <c r="A40" t="s">
        <v>192</v>
      </c>
      <c r="B40" t="s">
        <v>711</v>
      </c>
      <c r="C40" t="s">
        <v>193</v>
      </c>
      <c r="D40" t="s">
        <v>620</v>
      </c>
      <c r="E40" t="s">
        <v>712</v>
      </c>
      <c r="F40" t="s">
        <v>621</v>
      </c>
      <c r="G40" t="s">
        <v>620</v>
      </c>
      <c r="H40" s="1">
        <v>370.5</v>
      </c>
      <c r="I40" s="1" t="s">
        <v>665</v>
      </c>
      <c r="J40" s="1">
        <v>412</v>
      </c>
      <c r="K40" s="1">
        <v>99</v>
      </c>
      <c r="L40" s="1">
        <v>128.16770909090909</v>
      </c>
      <c r="M40" s="1">
        <v>89.811191126997471</v>
      </c>
      <c r="N40" s="1">
        <v>148</v>
      </c>
      <c r="O40" s="1">
        <v>494</v>
      </c>
      <c r="P40" s="1">
        <v>347</v>
      </c>
      <c r="Q40" s="1">
        <v>247</v>
      </c>
      <c r="R40" s="1">
        <v>321.09999999999997</v>
      </c>
      <c r="S40" s="1">
        <v>126.80000000000001</v>
      </c>
      <c r="T40" s="1">
        <v>129</v>
      </c>
      <c r="U40" s="1">
        <v>494</v>
      </c>
      <c r="V40" s="3">
        <f>_xlfn.XLOOKUP(Table2[[#This Row],[admin3Pcode]],'Inter-sector dataset'!F:F,'Inter-sector dataset'!Q:Q)</f>
        <v>0.37</v>
      </c>
      <c r="W40" s="3">
        <f>_xlfn.XLOOKUP(Table2[[#This Row],[admin3Pcode]],'Inter-sector dataset'!F:F,'Inter-sector dataset'!R:R)</f>
        <v>0</v>
      </c>
      <c r="X40" s="1">
        <f>IFERROR(Table2[[#This Row],[Health_PIN]]*$V40,)</f>
        <v>137.08500000000001</v>
      </c>
      <c r="Y40" s="1">
        <f>IFERROR(Table2[[#This Row],[CCCM_PIN]]*$V40,)</f>
        <v>0</v>
      </c>
      <c r="Z40" s="1">
        <f>IFERROR(Table2[[#This Row],[ERL_PIN]]*$V40,)</f>
        <v>152.44</v>
      </c>
      <c r="AA40" s="1">
        <f>IFERROR(Table2[[#This Row],[NFI_PIN]]*$V40,)</f>
        <v>36.630000000000003</v>
      </c>
      <c r="AB40" s="1">
        <f>IFERROR(Table2[[#This Row],[Nutrition_PIN]]*$V40,)</f>
        <v>47.422052363636361</v>
      </c>
      <c r="AC40" s="1">
        <f>IFERROR(Table2[[#This Row],[Education_PIN]]*$V40,)</f>
        <v>33.230140716989062</v>
      </c>
      <c r="AD40" s="1">
        <f>IFERROR(Table2[[#This Row],[Shelter_PIN]]*$V40,)</f>
        <v>54.76</v>
      </c>
      <c r="AE40" s="1">
        <f>IFERROR(Table2[[#This Row],[WASH_PIN]]*$V40,)</f>
        <v>182.78</v>
      </c>
      <c r="AF40" s="1">
        <f>IFERROR(Table2[[#This Row],[WASH_acute_PIN]]*$V40,)</f>
        <v>128.38999999999999</v>
      </c>
      <c r="AG40" s="1">
        <f>IFERROR(Table2[[#This Row],[Protection_PIN]]*$V40,)</f>
        <v>91.39</v>
      </c>
      <c r="AH40" s="1">
        <f>IFERROR(Table2[[#This Row],[Food_PIN]]*$V40,)</f>
        <v>118.80699999999999</v>
      </c>
      <c r="AI40" s="1">
        <f>IFERROR(Table2[[#This Row],[Protection_CP_PIN]]*$V40,)</f>
        <v>46.916000000000004</v>
      </c>
      <c r="AJ40" s="1">
        <f>IFERROR(Table2[[#This Row],[Protection_GBV_PIN]]*$V40,)</f>
        <v>47.73</v>
      </c>
      <c r="AK40" s="1">
        <f>IFERROR(Table2[[#This Row],[Protection_MA_PIN]]*$V40,)</f>
        <v>182.78</v>
      </c>
      <c r="AL40" s="1">
        <f>IFERROR(Table2[[#This Row],[Health_PIN]]*$W40,)</f>
        <v>0</v>
      </c>
      <c r="AM40" s="1">
        <f>IFERROR(Table2[[#This Row],[CCCM_PIN]]*$W40,)</f>
        <v>0</v>
      </c>
      <c r="AN40" s="1">
        <f>IFERROR(Table2[[#This Row],[ERL_PIN]]*$W40,)</f>
        <v>0</v>
      </c>
      <c r="AO40" s="1">
        <f>IFERROR(Table2[[#This Row],[NFI_PIN]]*$W40,)</f>
        <v>0</v>
      </c>
      <c r="AP40" s="1">
        <f>IFERROR(Table2[[#This Row],[Nutrition_PIN]]*$W40,)</f>
        <v>0</v>
      </c>
      <c r="AQ40" s="1">
        <f>IFERROR(Table2[[#This Row],[Education_PIN]]*$W40,)</f>
        <v>0</v>
      </c>
      <c r="AR40" s="1">
        <f>IFERROR(Table2[[#This Row],[Shelter_PIN]]*$W40,)</f>
        <v>0</v>
      </c>
      <c r="AS40" s="1">
        <f>IFERROR(Table2[[#This Row],[WASH_PIN]]*$W40,)</f>
        <v>0</v>
      </c>
      <c r="AT40" s="1">
        <f>IFERROR(Table2[[#This Row],[WASH_acute_PIN]]*$W40,)</f>
        <v>0</v>
      </c>
      <c r="AU40" s="1">
        <f>IFERROR(Table2[[#This Row],[Protection_PIN]]*$W40,)</f>
        <v>0</v>
      </c>
      <c r="AV40" s="1">
        <f>IFERROR(Table2[[#This Row],[Food_PIN]]*$W40,)</f>
        <v>0</v>
      </c>
      <c r="AW40" s="1">
        <f>IFERROR(Table2[[#This Row],[Protection_CP_PIN]]*$W40,)</f>
        <v>0</v>
      </c>
      <c r="AX40" s="1">
        <f>IFERROR(Table2[[#This Row],[Protection_GBV_PIN]]*$W40,)</f>
        <v>0</v>
      </c>
      <c r="AY40" s="1">
        <f>IFERROR(Table2[[#This Row],[Protection_MA_PIN]]*$W40,)</f>
        <v>0</v>
      </c>
      <c r="AZ40" s="1">
        <v>3</v>
      </c>
      <c r="BA40" s="1">
        <v>5</v>
      </c>
      <c r="BB40" s="1">
        <v>3</v>
      </c>
      <c r="BC40" s="1">
        <v>2</v>
      </c>
      <c r="BD40" s="1">
        <v>3</v>
      </c>
      <c r="BE40" s="1">
        <v>4</v>
      </c>
      <c r="BF40" s="1">
        <v>3</v>
      </c>
      <c r="BG40" s="1">
        <v>3</v>
      </c>
      <c r="BH40" s="1">
        <v>3</v>
      </c>
      <c r="BI40" s="1">
        <v>3</v>
      </c>
      <c r="BJ40" s="1">
        <v>4</v>
      </c>
      <c r="BK40" s="1" t="s">
        <v>665</v>
      </c>
      <c r="BL40" s="1">
        <v>4</v>
      </c>
    </row>
    <row r="41" spans="1:64" x14ac:dyDescent="0.35">
      <c r="A41" t="s">
        <v>192</v>
      </c>
      <c r="B41" t="s">
        <v>711</v>
      </c>
      <c r="C41" t="s">
        <v>193</v>
      </c>
      <c r="D41" t="s">
        <v>612</v>
      </c>
      <c r="E41" t="s">
        <v>713</v>
      </c>
      <c r="F41" t="s">
        <v>613</v>
      </c>
      <c r="G41" t="s">
        <v>612</v>
      </c>
      <c r="H41" s="1">
        <v>954</v>
      </c>
      <c r="I41" s="1" t="s">
        <v>665</v>
      </c>
      <c r="J41" s="1">
        <v>686</v>
      </c>
      <c r="K41" s="1">
        <v>254</v>
      </c>
      <c r="L41" s="1">
        <v>419.76992555831265</v>
      </c>
      <c r="M41" s="1">
        <v>551.79999999999995</v>
      </c>
      <c r="N41" s="1">
        <v>326</v>
      </c>
      <c r="O41" s="1">
        <v>0</v>
      </c>
      <c r="P41" s="1">
        <v>0</v>
      </c>
      <c r="Q41" s="1">
        <v>636</v>
      </c>
      <c r="R41" s="1">
        <v>674.16</v>
      </c>
      <c r="S41" s="1">
        <v>139.19999999999999</v>
      </c>
      <c r="T41" s="1">
        <v>547</v>
      </c>
      <c r="U41" s="1">
        <v>717</v>
      </c>
      <c r="V41" s="3">
        <f>_xlfn.XLOOKUP(Table2[[#This Row],[admin3Pcode]],'Inter-sector dataset'!F:F,'Inter-sector dataset'!Q:Q)</f>
        <v>0</v>
      </c>
      <c r="W41" s="3">
        <f>_xlfn.XLOOKUP(Table2[[#This Row],[admin3Pcode]],'Inter-sector dataset'!F:F,'Inter-sector dataset'!R:R)</f>
        <v>0</v>
      </c>
      <c r="X41" s="1">
        <f>IFERROR(Table2[[#This Row],[Health_PIN]]*$V41,)</f>
        <v>0</v>
      </c>
      <c r="Y41" s="1">
        <f>IFERROR(Table2[[#This Row],[CCCM_PIN]]*$V41,)</f>
        <v>0</v>
      </c>
      <c r="Z41" s="1">
        <f>IFERROR(Table2[[#This Row],[ERL_PIN]]*$V41,)</f>
        <v>0</v>
      </c>
      <c r="AA41" s="1">
        <f>IFERROR(Table2[[#This Row],[NFI_PIN]]*$V41,)</f>
        <v>0</v>
      </c>
      <c r="AB41" s="1">
        <f>IFERROR(Table2[[#This Row],[Nutrition_PIN]]*$V41,)</f>
        <v>0</v>
      </c>
      <c r="AC41" s="1">
        <f>IFERROR(Table2[[#This Row],[Education_PIN]]*$V41,)</f>
        <v>0</v>
      </c>
      <c r="AD41" s="1">
        <f>IFERROR(Table2[[#This Row],[Shelter_PIN]]*$V41,)</f>
        <v>0</v>
      </c>
      <c r="AE41" s="1">
        <f>IFERROR(Table2[[#This Row],[WASH_PIN]]*$V41,)</f>
        <v>0</v>
      </c>
      <c r="AF41" s="1">
        <f>IFERROR(Table2[[#This Row],[WASH_acute_PIN]]*$V41,)</f>
        <v>0</v>
      </c>
      <c r="AG41" s="1">
        <f>IFERROR(Table2[[#This Row],[Protection_PIN]]*$V41,)</f>
        <v>0</v>
      </c>
      <c r="AH41" s="1">
        <f>IFERROR(Table2[[#This Row],[Food_PIN]]*$V41,)</f>
        <v>0</v>
      </c>
      <c r="AI41" s="1">
        <f>IFERROR(Table2[[#This Row],[Protection_CP_PIN]]*$V41,)</f>
        <v>0</v>
      </c>
      <c r="AJ41" s="1">
        <f>IFERROR(Table2[[#This Row],[Protection_GBV_PIN]]*$V41,)</f>
        <v>0</v>
      </c>
      <c r="AK41" s="1">
        <f>IFERROR(Table2[[#This Row],[Protection_MA_PIN]]*$V41,)</f>
        <v>0</v>
      </c>
      <c r="AL41" s="1">
        <f>IFERROR(Table2[[#This Row],[Health_PIN]]*$W41,)</f>
        <v>0</v>
      </c>
      <c r="AM41" s="1">
        <f>IFERROR(Table2[[#This Row],[CCCM_PIN]]*$W41,)</f>
        <v>0</v>
      </c>
      <c r="AN41" s="1">
        <f>IFERROR(Table2[[#This Row],[ERL_PIN]]*$W41,)</f>
        <v>0</v>
      </c>
      <c r="AO41" s="1">
        <f>IFERROR(Table2[[#This Row],[NFI_PIN]]*$W41,)</f>
        <v>0</v>
      </c>
      <c r="AP41" s="1">
        <f>IFERROR(Table2[[#This Row],[Nutrition_PIN]]*$W41,)</f>
        <v>0</v>
      </c>
      <c r="AQ41" s="1">
        <f>IFERROR(Table2[[#This Row],[Education_PIN]]*$W41,)</f>
        <v>0</v>
      </c>
      <c r="AR41" s="1">
        <f>IFERROR(Table2[[#This Row],[Shelter_PIN]]*$W41,)</f>
        <v>0</v>
      </c>
      <c r="AS41" s="1">
        <f>IFERROR(Table2[[#This Row],[WASH_PIN]]*$W41,)</f>
        <v>0</v>
      </c>
      <c r="AT41" s="1">
        <f>IFERROR(Table2[[#This Row],[WASH_acute_PIN]]*$W41,)</f>
        <v>0</v>
      </c>
      <c r="AU41" s="1">
        <f>IFERROR(Table2[[#This Row],[Protection_PIN]]*$W41,)</f>
        <v>0</v>
      </c>
      <c r="AV41" s="1">
        <f>IFERROR(Table2[[#This Row],[Food_PIN]]*$W41,)</f>
        <v>0</v>
      </c>
      <c r="AW41" s="1">
        <f>IFERROR(Table2[[#This Row],[Protection_CP_PIN]]*$W41,)</f>
        <v>0</v>
      </c>
      <c r="AX41" s="1">
        <f>IFERROR(Table2[[#This Row],[Protection_GBV_PIN]]*$W41,)</f>
        <v>0</v>
      </c>
      <c r="AY41" s="1">
        <f>IFERROR(Table2[[#This Row],[Protection_MA_PIN]]*$W41,)</f>
        <v>0</v>
      </c>
      <c r="AZ41" s="1">
        <v>3</v>
      </c>
      <c r="BA41" s="1">
        <v>4</v>
      </c>
      <c r="BB41" s="1">
        <v>3</v>
      </c>
      <c r="BC41" s="1">
        <v>2</v>
      </c>
      <c r="BD41" s="1">
        <v>3</v>
      </c>
      <c r="BE41" s="1">
        <v>4</v>
      </c>
      <c r="BF41" s="1">
        <v>3</v>
      </c>
      <c r="BG41" s="1">
        <v>2</v>
      </c>
      <c r="BH41" s="1">
        <v>4</v>
      </c>
      <c r="BI41" s="1">
        <v>3</v>
      </c>
      <c r="BJ41" s="1">
        <v>3</v>
      </c>
      <c r="BK41" s="1" t="s">
        <v>665</v>
      </c>
      <c r="BL41" s="1">
        <v>2</v>
      </c>
    </row>
    <row r="42" spans="1:64" x14ac:dyDescent="0.35">
      <c r="A42" t="s">
        <v>12</v>
      </c>
      <c r="B42" t="s">
        <v>673</v>
      </c>
      <c r="C42" t="s">
        <v>13</v>
      </c>
      <c r="D42" t="s">
        <v>604</v>
      </c>
      <c r="E42" t="s">
        <v>714</v>
      </c>
      <c r="F42" t="s">
        <v>605</v>
      </c>
      <c r="G42" t="s">
        <v>604</v>
      </c>
      <c r="H42" s="1">
        <v>1179.5</v>
      </c>
      <c r="I42" s="1" t="s">
        <v>665</v>
      </c>
      <c r="J42" s="1">
        <v>1991</v>
      </c>
      <c r="K42" s="1">
        <v>632</v>
      </c>
      <c r="L42" s="1">
        <v>510.9524152044749</v>
      </c>
      <c r="M42" s="1">
        <v>861.8</v>
      </c>
      <c r="N42" s="1">
        <v>320</v>
      </c>
      <c r="O42" s="1">
        <v>473.34887546488795</v>
      </c>
      <c r="P42" s="1">
        <v>32</v>
      </c>
      <c r="Q42" s="1">
        <v>1180</v>
      </c>
      <c r="R42" s="1">
        <v>129.85321100917432</v>
      </c>
      <c r="S42" s="1">
        <v>473.6</v>
      </c>
      <c r="T42" s="1">
        <v>411</v>
      </c>
      <c r="U42" s="1">
        <v>2049</v>
      </c>
      <c r="V42" s="3">
        <f>_xlfn.XLOOKUP(Table2[[#This Row],[admin3Pcode]],'Inter-sector dataset'!F:F,'Inter-sector dataset'!Q:Q)</f>
        <v>0</v>
      </c>
      <c r="W42" s="3">
        <f>_xlfn.XLOOKUP(Table2[[#This Row],[admin3Pcode]],'Inter-sector dataset'!F:F,'Inter-sector dataset'!R:R)</f>
        <v>0</v>
      </c>
      <c r="X42" s="1">
        <f>IFERROR(Table2[[#This Row],[Health_PIN]]*$V42,)</f>
        <v>0</v>
      </c>
      <c r="Y42" s="1">
        <f>IFERROR(Table2[[#This Row],[CCCM_PIN]]*$V42,)</f>
        <v>0</v>
      </c>
      <c r="Z42" s="1">
        <f>IFERROR(Table2[[#This Row],[ERL_PIN]]*$V42,)</f>
        <v>0</v>
      </c>
      <c r="AA42" s="1">
        <f>IFERROR(Table2[[#This Row],[NFI_PIN]]*$V42,)</f>
        <v>0</v>
      </c>
      <c r="AB42" s="1">
        <f>IFERROR(Table2[[#This Row],[Nutrition_PIN]]*$V42,)</f>
        <v>0</v>
      </c>
      <c r="AC42" s="1">
        <f>IFERROR(Table2[[#This Row],[Education_PIN]]*$V42,)</f>
        <v>0</v>
      </c>
      <c r="AD42" s="1">
        <f>IFERROR(Table2[[#This Row],[Shelter_PIN]]*$V42,)</f>
        <v>0</v>
      </c>
      <c r="AE42" s="1">
        <f>IFERROR(Table2[[#This Row],[WASH_PIN]]*$V42,)</f>
        <v>0</v>
      </c>
      <c r="AF42" s="1">
        <f>IFERROR(Table2[[#This Row],[WASH_acute_PIN]]*$V42,)</f>
        <v>0</v>
      </c>
      <c r="AG42" s="1">
        <f>IFERROR(Table2[[#This Row],[Protection_PIN]]*$V42,)</f>
        <v>0</v>
      </c>
      <c r="AH42" s="1">
        <f>IFERROR(Table2[[#This Row],[Food_PIN]]*$V42,)</f>
        <v>0</v>
      </c>
      <c r="AI42" s="1">
        <f>IFERROR(Table2[[#This Row],[Protection_CP_PIN]]*$V42,)</f>
        <v>0</v>
      </c>
      <c r="AJ42" s="1">
        <f>IFERROR(Table2[[#This Row],[Protection_GBV_PIN]]*$V42,)</f>
        <v>0</v>
      </c>
      <c r="AK42" s="1">
        <f>IFERROR(Table2[[#This Row],[Protection_MA_PIN]]*$V42,)</f>
        <v>0</v>
      </c>
      <c r="AL42" s="1">
        <f>IFERROR(Table2[[#This Row],[Health_PIN]]*$W42,)</f>
        <v>0</v>
      </c>
      <c r="AM42" s="1">
        <f>IFERROR(Table2[[#This Row],[CCCM_PIN]]*$W42,)</f>
        <v>0</v>
      </c>
      <c r="AN42" s="1">
        <f>IFERROR(Table2[[#This Row],[ERL_PIN]]*$W42,)</f>
        <v>0</v>
      </c>
      <c r="AO42" s="1">
        <f>IFERROR(Table2[[#This Row],[NFI_PIN]]*$W42,)</f>
        <v>0</v>
      </c>
      <c r="AP42" s="1">
        <f>IFERROR(Table2[[#This Row],[Nutrition_PIN]]*$W42,)</f>
        <v>0</v>
      </c>
      <c r="AQ42" s="1">
        <f>IFERROR(Table2[[#This Row],[Education_PIN]]*$W42,)</f>
        <v>0</v>
      </c>
      <c r="AR42" s="1">
        <f>IFERROR(Table2[[#This Row],[Shelter_PIN]]*$W42,)</f>
        <v>0</v>
      </c>
      <c r="AS42" s="1">
        <f>IFERROR(Table2[[#This Row],[WASH_PIN]]*$W42,)</f>
        <v>0</v>
      </c>
      <c r="AT42" s="1">
        <f>IFERROR(Table2[[#This Row],[WASH_acute_PIN]]*$W42,)</f>
        <v>0</v>
      </c>
      <c r="AU42" s="1">
        <f>IFERROR(Table2[[#This Row],[Protection_PIN]]*$W42,)</f>
        <v>0</v>
      </c>
      <c r="AV42" s="1">
        <f>IFERROR(Table2[[#This Row],[Food_PIN]]*$W42,)</f>
        <v>0</v>
      </c>
      <c r="AW42" s="1">
        <f>IFERROR(Table2[[#This Row],[Protection_CP_PIN]]*$W42,)</f>
        <v>0</v>
      </c>
      <c r="AX42" s="1">
        <f>IFERROR(Table2[[#This Row],[Protection_GBV_PIN]]*$W42,)</f>
        <v>0</v>
      </c>
      <c r="AY42" s="1">
        <f>IFERROR(Table2[[#This Row],[Protection_MA_PIN]]*$W42,)</f>
        <v>0</v>
      </c>
      <c r="AZ42" s="1">
        <v>2</v>
      </c>
      <c r="BA42" s="1">
        <v>3</v>
      </c>
      <c r="BB42" s="1">
        <v>4</v>
      </c>
      <c r="BC42" s="1">
        <v>3</v>
      </c>
      <c r="BD42" s="1">
        <v>3</v>
      </c>
      <c r="BE42" s="1">
        <v>3</v>
      </c>
      <c r="BF42" s="1">
        <v>3</v>
      </c>
      <c r="BG42" s="1">
        <v>3</v>
      </c>
      <c r="BH42" s="1">
        <v>2</v>
      </c>
      <c r="BI42" s="1">
        <v>3</v>
      </c>
      <c r="BJ42" s="1">
        <v>2</v>
      </c>
      <c r="BK42" s="1" t="s">
        <v>665</v>
      </c>
      <c r="BL42" s="1">
        <v>2</v>
      </c>
    </row>
    <row r="43" spans="1:64" x14ac:dyDescent="0.35">
      <c r="A43" t="s">
        <v>192</v>
      </c>
      <c r="B43" t="s">
        <v>711</v>
      </c>
      <c r="C43" t="s">
        <v>193</v>
      </c>
      <c r="D43" t="s">
        <v>595</v>
      </c>
      <c r="E43" t="s">
        <v>715</v>
      </c>
      <c r="F43" t="s">
        <v>596</v>
      </c>
      <c r="G43" t="s">
        <v>595</v>
      </c>
      <c r="H43" s="1">
        <v>1425</v>
      </c>
      <c r="I43" s="1" t="s">
        <v>665</v>
      </c>
      <c r="J43" s="1">
        <v>2061</v>
      </c>
      <c r="K43" s="1">
        <v>0</v>
      </c>
      <c r="L43" s="1">
        <v>589.09465096456779</v>
      </c>
      <c r="M43" s="1">
        <v>438.83599291792797</v>
      </c>
      <c r="N43" s="1">
        <v>570</v>
      </c>
      <c r="O43" s="1">
        <v>2850</v>
      </c>
      <c r="P43" s="1">
        <v>446</v>
      </c>
      <c r="Q43" s="1">
        <v>1425</v>
      </c>
      <c r="R43" s="1">
        <v>2201.2195121951218</v>
      </c>
      <c r="S43" s="1">
        <v>524.79999999999995</v>
      </c>
      <c r="T43" s="1">
        <v>1192</v>
      </c>
      <c r="U43" s="1">
        <v>2650</v>
      </c>
      <c r="V43" s="3">
        <f>_xlfn.XLOOKUP(Table2[[#This Row],[admin3Pcode]],'Inter-sector dataset'!F:F,'Inter-sector dataset'!Q:Q)</f>
        <v>0</v>
      </c>
      <c r="W43" s="3">
        <f>_xlfn.XLOOKUP(Table2[[#This Row],[admin3Pcode]],'Inter-sector dataset'!F:F,'Inter-sector dataset'!R:R)</f>
        <v>0</v>
      </c>
      <c r="X43" s="1">
        <f>IFERROR(Table2[[#This Row],[Health_PIN]]*$V43,)</f>
        <v>0</v>
      </c>
      <c r="Y43" s="1">
        <f>IFERROR(Table2[[#This Row],[CCCM_PIN]]*$V43,)</f>
        <v>0</v>
      </c>
      <c r="Z43" s="1">
        <f>IFERROR(Table2[[#This Row],[ERL_PIN]]*$V43,)</f>
        <v>0</v>
      </c>
      <c r="AA43" s="1">
        <f>IFERROR(Table2[[#This Row],[NFI_PIN]]*$V43,)</f>
        <v>0</v>
      </c>
      <c r="AB43" s="1">
        <f>IFERROR(Table2[[#This Row],[Nutrition_PIN]]*$V43,)</f>
        <v>0</v>
      </c>
      <c r="AC43" s="1">
        <f>IFERROR(Table2[[#This Row],[Education_PIN]]*$V43,)</f>
        <v>0</v>
      </c>
      <c r="AD43" s="1">
        <f>IFERROR(Table2[[#This Row],[Shelter_PIN]]*$V43,)</f>
        <v>0</v>
      </c>
      <c r="AE43" s="1">
        <f>IFERROR(Table2[[#This Row],[WASH_PIN]]*$V43,)</f>
        <v>0</v>
      </c>
      <c r="AF43" s="1">
        <f>IFERROR(Table2[[#This Row],[WASH_acute_PIN]]*$V43,)</f>
        <v>0</v>
      </c>
      <c r="AG43" s="1">
        <f>IFERROR(Table2[[#This Row],[Protection_PIN]]*$V43,)</f>
        <v>0</v>
      </c>
      <c r="AH43" s="1">
        <f>IFERROR(Table2[[#This Row],[Food_PIN]]*$V43,)</f>
        <v>0</v>
      </c>
      <c r="AI43" s="1">
        <f>IFERROR(Table2[[#This Row],[Protection_CP_PIN]]*$V43,)</f>
        <v>0</v>
      </c>
      <c r="AJ43" s="1">
        <f>IFERROR(Table2[[#This Row],[Protection_GBV_PIN]]*$V43,)</f>
        <v>0</v>
      </c>
      <c r="AK43" s="1">
        <f>IFERROR(Table2[[#This Row],[Protection_MA_PIN]]*$V43,)</f>
        <v>0</v>
      </c>
      <c r="AL43" s="1">
        <f>IFERROR(Table2[[#This Row],[Health_PIN]]*$W43,)</f>
        <v>0</v>
      </c>
      <c r="AM43" s="1">
        <f>IFERROR(Table2[[#This Row],[CCCM_PIN]]*$W43,)</f>
        <v>0</v>
      </c>
      <c r="AN43" s="1">
        <f>IFERROR(Table2[[#This Row],[ERL_PIN]]*$W43,)</f>
        <v>0</v>
      </c>
      <c r="AO43" s="1">
        <f>IFERROR(Table2[[#This Row],[NFI_PIN]]*$W43,)</f>
        <v>0</v>
      </c>
      <c r="AP43" s="1">
        <f>IFERROR(Table2[[#This Row],[Nutrition_PIN]]*$W43,)</f>
        <v>0</v>
      </c>
      <c r="AQ43" s="1">
        <f>IFERROR(Table2[[#This Row],[Education_PIN]]*$W43,)</f>
        <v>0</v>
      </c>
      <c r="AR43" s="1">
        <f>IFERROR(Table2[[#This Row],[Shelter_PIN]]*$W43,)</f>
        <v>0</v>
      </c>
      <c r="AS43" s="1">
        <f>IFERROR(Table2[[#This Row],[WASH_PIN]]*$W43,)</f>
        <v>0</v>
      </c>
      <c r="AT43" s="1">
        <f>IFERROR(Table2[[#This Row],[WASH_acute_PIN]]*$W43,)</f>
        <v>0</v>
      </c>
      <c r="AU43" s="1">
        <f>IFERROR(Table2[[#This Row],[Protection_PIN]]*$W43,)</f>
        <v>0</v>
      </c>
      <c r="AV43" s="1">
        <f>IFERROR(Table2[[#This Row],[Food_PIN]]*$W43,)</f>
        <v>0</v>
      </c>
      <c r="AW43" s="1">
        <f>IFERROR(Table2[[#This Row],[Protection_CP_PIN]]*$W43,)</f>
        <v>0</v>
      </c>
      <c r="AX43" s="1">
        <f>IFERROR(Table2[[#This Row],[Protection_GBV_PIN]]*$W43,)</f>
        <v>0</v>
      </c>
      <c r="AY43" s="1">
        <f>IFERROR(Table2[[#This Row],[Protection_MA_PIN]]*$W43,)</f>
        <v>0</v>
      </c>
      <c r="AZ43" s="1">
        <v>2</v>
      </c>
      <c r="BA43" s="1">
        <v>3</v>
      </c>
      <c r="BB43" s="1">
        <v>3</v>
      </c>
      <c r="BC43" s="1">
        <v>1</v>
      </c>
      <c r="BD43" s="1">
        <v>3</v>
      </c>
      <c r="BE43" s="1">
        <v>3</v>
      </c>
      <c r="BF43" s="1">
        <v>3</v>
      </c>
      <c r="BG43" s="1">
        <v>3</v>
      </c>
      <c r="BH43" s="1">
        <v>4</v>
      </c>
      <c r="BI43" s="1">
        <v>3</v>
      </c>
      <c r="BJ43" s="1">
        <v>4</v>
      </c>
      <c r="BK43" s="1" t="s">
        <v>665</v>
      </c>
      <c r="BL43" s="1">
        <v>4</v>
      </c>
    </row>
    <row r="44" spans="1:64" x14ac:dyDescent="0.35">
      <c r="A44" t="s">
        <v>54</v>
      </c>
      <c r="B44" t="s">
        <v>709</v>
      </c>
      <c r="C44" t="s">
        <v>55</v>
      </c>
      <c r="D44" t="s">
        <v>587</v>
      </c>
      <c r="E44" t="s">
        <v>716</v>
      </c>
      <c r="F44" t="s">
        <v>588</v>
      </c>
      <c r="G44" t="s">
        <v>587</v>
      </c>
      <c r="H44" s="1">
        <v>1924</v>
      </c>
      <c r="I44" s="1" t="s">
        <v>665</v>
      </c>
      <c r="J44" s="1">
        <v>2459</v>
      </c>
      <c r="K44" s="1">
        <v>1154</v>
      </c>
      <c r="L44" s="1">
        <v>1356.5920883587439</v>
      </c>
      <c r="M44" s="1">
        <v>2089.0457506597409</v>
      </c>
      <c r="N44" s="1">
        <v>770</v>
      </c>
      <c r="O44" s="1">
        <v>1566.1460183085558</v>
      </c>
      <c r="P44" s="1">
        <v>338</v>
      </c>
      <c r="Q44" s="1">
        <v>1924</v>
      </c>
      <c r="R44" s="1">
        <v>3099.7777777777778</v>
      </c>
      <c r="S44" s="1">
        <v>740.40000000000009</v>
      </c>
      <c r="T44" s="1">
        <v>927</v>
      </c>
      <c r="U44" s="1">
        <v>3698</v>
      </c>
      <c r="V44" s="3">
        <f>_xlfn.XLOOKUP(Table2[[#This Row],[admin3Pcode]],'Inter-sector dataset'!F:F,'Inter-sector dataset'!Q:Q)</f>
        <v>0</v>
      </c>
      <c r="W44" s="3">
        <f>_xlfn.XLOOKUP(Table2[[#This Row],[admin3Pcode]],'Inter-sector dataset'!F:F,'Inter-sector dataset'!R:R)</f>
        <v>0</v>
      </c>
      <c r="X44" s="1">
        <f>IFERROR(Table2[[#This Row],[Health_PIN]]*$V44,)</f>
        <v>0</v>
      </c>
      <c r="Y44" s="1">
        <f>IFERROR(Table2[[#This Row],[CCCM_PIN]]*$V44,)</f>
        <v>0</v>
      </c>
      <c r="Z44" s="1">
        <f>IFERROR(Table2[[#This Row],[ERL_PIN]]*$V44,)</f>
        <v>0</v>
      </c>
      <c r="AA44" s="1">
        <f>IFERROR(Table2[[#This Row],[NFI_PIN]]*$V44,)</f>
        <v>0</v>
      </c>
      <c r="AB44" s="1">
        <f>IFERROR(Table2[[#This Row],[Nutrition_PIN]]*$V44,)</f>
        <v>0</v>
      </c>
      <c r="AC44" s="1">
        <f>IFERROR(Table2[[#This Row],[Education_PIN]]*$V44,)</f>
        <v>0</v>
      </c>
      <c r="AD44" s="1">
        <f>IFERROR(Table2[[#This Row],[Shelter_PIN]]*$V44,)</f>
        <v>0</v>
      </c>
      <c r="AE44" s="1">
        <f>IFERROR(Table2[[#This Row],[WASH_PIN]]*$V44,)</f>
        <v>0</v>
      </c>
      <c r="AF44" s="1">
        <f>IFERROR(Table2[[#This Row],[WASH_acute_PIN]]*$V44,)</f>
        <v>0</v>
      </c>
      <c r="AG44" s="1">
        <f>IFERROR(Table2[[#This Row],[Protection_PIN]]*$V44,)</f>
        <v>0</v>
      </c>
      <c r="AH44" s="1">
        <f>IFERROR(Table2[[#This Row],[Food_PIN]]*$V44,)</f>
        <v>0</v>
      </c>
      <c r="AI44" s="1">
        <f>IFERROR(Table2[[#This Row],[Protection_CP_PIN]]*$V44,)</f>
        <v>0</v>
      </c>
      <c r="AJ44" s="1">
        <f>IFERROR(Table2[[#This Row],[Protection_GBV_PIN]]*$V44,)</f>
        <v>0</v>
      </c>
      <c r="AK44" s="1">
        <f>IFERROR(Table2[[#This Row],[Protection_MA_PIN]]*$V44,)</f>
        <v>0</v>
      </c>
      <c r="AL44" s="1">
        <f>IFERROR(Table2[[#This Row],[Health_PIN]]*$W44,)</f>
        <v>0</v>
      </c>
      <c r="AM44" s="1">
        <f>IFERROR(Table2[[#This Row],[CCCM_PIN]]*$W44,)</f>
        <v>0</v>
      </c>
      <c r="AN44" s="1">
        <f>IFERROR(Table2[[#This Row],[ERL_PIN]]*$W44,)</f>
        <v>0</v>
      </c>
      <c r="AO44" s="1">
        <f>IFERROR(Table2[[#This Row],[NFI_PIN]]*$W44,)</f>
        <v>0</v>
      </c>
      <c r="AP44" s="1">
        <f>IFERROR(Table2[[#This Row],[Nutrition_PIN]]*$W44,)</f>
        <v>0</v>
      </c>
      <c r="AQ44" s="1">
        <f>IFERROR(Table2[[#This Row],[Education_PIN]]*$W44,)</f>
        <v>0</v>
      </c>
      <c r="AR44" s="1">
        <f>IFERROR(Table2[[#This Row],[Shelter_PIN]]*$W44,)</f>
        <v>0</v>
      </c>
      <c r="AS44" s="1">
        <f>IFERROR(Table2[[#This Row],[WASH_PIN]]*$W44,)</f>
        <v>0</v>
      </c>
      <c r="AT44" s="1">
        <f>IFERROR(Table2[[#This Row],[WASH_acute_PIN]]*$W44,)</f>
        <v>0</v>
      </c>
      <c r="AU44" s="1">
        <f>IFERROR(Table2[[#This Row],[Protection_PIN]]*$W44,)</f>
        <v>0</v>
      </c>
      <c r="AV44" s="1">
        <f>IFERROR(Table2[[#This Row],[Food_PIN]]*$W44,)</f>
        <v>0</v>
      </c>
      <c r="AW44" s="1">
        <f>IFERROR(Table2[[#This Row],[Protection_CP_PIN]]*$W44,)</f>
        <v>0</v>
      </c>
      <c r="AX44" s="1">
        <f>IFERROR(Table2[[#This Row],[Protection_GBV_PIN]]*$W44,)</f>
        <v>0</v>
      </c>
      <c r="AY44" s="1">
        <f>IFERROR(Table2[[#This Row],[Protection_MA_PIN]]*$W44,)</f>
        <v>0</v>
      </c>
      <c r="AZ44" s="1">
        <v>2</v>
      </c>
      <c r="BA44" s="1">
        <v>3</v>
      </c>
      <c r="BB44" s="1">
        <v>4</v>
      </c>
      <c r="BC44" s="1">
        <v>3</v>
      </c>
      <c r="BD44" s="1">
        <v>3</v>
      </c>
      <c r="BE44" s="1">
        <v>3</v>
      </c>
      <c r="BF44" s="1">
        <v>3</v>
      </c>
      <c r="BG44" s="1">
        <v>3</v>
      </c>
      <c r="BH44" s="1">
        <v>3</v>
      </c>
      <c r="BI44" s="1">
        <v>3</v>
      </c>
      <c r="BJ44" s="1">
        <v>4</v>
      </c>
      <c r="BK44" s="1" t="s">
        <v>665</v>
      </c>
      <c r="BL44" s="1">
        <v>4</v>
      </c>
    </row>
    <row r="45" spans="1:64" x14ac:dyDescent="0.35">
      <c r="A45" t="s">
        <v>17</v>
      </c>
      <c r="B45" t="s">
        <v>663</v>
      </c>
      <c r="C45" t="s">
        <v>18</v>
      </c>
      <c r="D45" t="s">
        <v>579</v>
      </c>
      <c r="E45" t="s">
        <v>717</v>
      </c>
      <c r="F45" t="s">
        <v>599</v>
      </c>
      <c r="G45" t="s">
        <v>579</v>
      </c>
      <c r="H45" s="1">
        <v>1962</v>
      </c>
      <c r="I45" s="1" t="s">
        <v>665</v>
      </c>
      <c r="J45" s="1">
        <v>2685</v>
      </c>
      <c r="K45" s="1">
        <v>0</v>
      </c>
      <c r="L45" s="1">
        <v>977.2909525278842</v>
      </c>
      <c r="M45" s="1">
        <v>315.47929936305741</v>
      </c>
      <c r="N45" s="1">
        <v>594</v>
      </c>
      <c r="O45" s="1">
        <v>259.9388211461295</v>
      </c>
      <c r="P45" s="1">
        <v>0</v>
      </c>
      <c r="Q45" s="1">
        <v>1962</v>
      </c>
      <c r="R45" s="1">
        <v>588.60000000000014</v>
      </c>
      <c r="S45" s="1">
        <v>654.40000000000009</v>
      </c>
      <c r="T45" s="1">
        <v>1088</v>
      </c>
      <c r="U45" s="1">
        <v>3924</v>
      </c>
      <c r="V45" s="3">
        <f>_xlfn.XLOOKUP(Table2[[#This Row],[admin3Pcode]],'Inter-sector dataset'!F:F,'Inter-sector dataset'!Q:Q)</f>
        <v>0</v>
      </c>
      <c r="W45" s="3">
        <f>_xlfn.XLOOKUP(Table2[[#This Row],[admin3Pcode]],'Inter-sector dataset'!F:F,'Inter-sector dataset'!R:R)</f>
        <v>0</v>
      </c>
      <c r="X45" s="1">
        <f>IFERROR(Table2[[#This Row],[Health_PIN]]*$V45,)</f>
        <v>0</v>
      </c>
      <c r="Y45" s="1">
        <f>IFERROR(Table2[[#This Row],[CCCM_PIN]]*$V45,)</f>
        <v>0</v>
      </c>
      <c r="Z45" s="1">
        <f>IFERROR(Table2[[#This Row],[ERL_PIN]]*$V45,)</f>
        <v>0</v>
      </c>
      <c r="AA45" s="1">
        <f>IFERROR(Table2[[#This Row],[NFI_PIN]]*$V45,)</f>
        <v>0</v>
      </c>
      <c r="AB45" s="1">
        <f>IFERROR(Table2[[#This Row],[Nutrition_PIN]]*$V45,)</f>
        <v>0</v>
      </c>
      <c r="AC45" s="1">
        <f>IFERROR(Table2[[#This Row],[Education_PIN]]*$V45,)</f>
        <v>0</v>
      </c>
      <c r="AD45" s="1">
        <f>IFERROR(Table2[[#This Row],[Shelter_PIN]]*$V45,)</f>
        <v>0</v>
      </c>
      <c r="AE45" s="1">
        <f>IFERROR(Table2[[#This Row],[WASH_PIN]]*$V45,)</f>
        <v>0</v>
      </c>
      <c r="AF45" s="1">
        <f>IFERROR(Table2[[#This Row],[WASH_acute_PIN]]*$V45,)</f>
        <v>0</v>
      </c>
      <c r="AG45" s="1">
        <f>IFERROR(Table2[[#This Row],[Protection_PIN]]*$V45,)</f>
        <v>0</v>
      </c>
      <c r="AH45" s="1">
        <f>IFERROR(Table2[[#This Row],[Food_PIN]]*$V45,)</f>
        <v>0</v>
      </c>
      <c r="AI45" s="1">
        <f>IFERROR(Table2[[#This Row],[Protection_CP_PIN]]*$V45,)</f>
        <v>0</v>
      </c>
      <c r="AJ45" s="1">
        <f>IFERROR(Table2[[#This Row],[Protection_GBV_PIN]]*$V45,)</f>
        <v>0</v>
      </c>
      <c r="AK45" s="1">
        <f>IFERROR(Table2[[#This Row],[Protection_MA_PIN]]*$V45,)</f>
        <v>0</v>
      </c>
      <c r="AL45" s="1">
        <f>IFERROR(Table2[[#This Row],[Health_PIN]]*$W45,)</f>
        <v>0</v>
      </c>
      <c r="AM45" s="1">
        <f>IFERROR(Table2[[#This Row],[CCCM_PIN]]*$W45,)</f>
        <v>0</v>
      </c>
      <c r="AN45" s="1">
        <f>IFERROR(Table2[[#This Row],[ERL_PIN]]*$W45,)</f>
        <v>0</v>
      </c>
      <c r="AO45" s="1">
        <f>IFERROR(Table2[[#This Row],[NFI_PIN]]*$W45,)</f>
        <v>0</v>
      </c>
      <c r="AP45" s="1">
        <f>IFERROR(Table2[[#This Row],[Nutrition_PIN]]*$W45,)</f>
        <v>0</v>
      </c>
      <c r="AQ45" s="1">
        <f>IFERROR(Table2[[#This Row],[Education_PIN]]*$W45,)</f>
        <v>0</v>
      </c>
      <c r="AR45" s="1">
        <f>IFERROR(Table2[[#This Row],[Shelter_PIN]]*$W45,)</f>
        <v>0</v>
      </c>
      <c r="AS45" s="1">
        <f>IFERROR(Table2[[#This Row],[WASH_PIN]]*$W45,)</f>
        <v>0</v>
      </c>
      <c r="AT45" s="1">
        <f>IFERROR(Table2[[#This Row],[WASH_acute_PIN]]*$W45,)</f>
        <v>0</v>
      </c>
      <c r="AU45" s="1">
        <f>IFERROR(Table2[[#This Row],[Protection_PIN]]*$W45,)</f>
        <v>0</v>
      </c>
      <c r="AV45" s="1">
        <f>IFERROR(Table2[[#This Row],[Food_PIN]]*$W45,)</f>
        <v>0</v>
      </c>
      <c r="AW45" s="1">
        <f>IFERROR(Table2[[#This Row],[Protection_CP_PIN]]*$W45,)</f>
        <v>0</v>
      </c>
      <c r="AX45" s="1">
        <f>IFERROR(Table2[[#This Row],[Protection_GBV_PIN]]*$W45,)</f>
        <v>0</v>
      </c>
      <c r="AY45" s="1">
        <f>IFERROR(Table2[[#This Row],[Protection_MA_PIN]]*$W45,)</f>
        <v>0</v>
      </c>
      <c r="AZ45" s="1">
        <v>2</v>
      </c>
      <c r="BA45" s="1">
        <v>3</v>
      </c>
      <c r="BB45" s="1">
        <v>4</v>
      </c>
      <c r="BC45" s="1">
        <v>1</v>
      </c>
      <c r="BD45" s="1">
        <v>3</v>
      </c>
      <c r="BE45" s="1">
        <v>3</v>
      </c>
      <c r="BF45" s="1">
        <v>3</v>
      </c>
      <c r="BG45" s="1">
        <v>3</v>
      </c>
      <c r="BH45" s="1">
        <v>3</v>
      </c>
      <c r="BI45" s="1">
        <v>3</v>
      </c>
      <c r="BJ45" s="1">
        <v>3</v>
      </c>
      <c r="BK45" s="1" t="s">
        <v>665</v>
      </c>
      <c r="BL45" s="1">
        <v>2</v>
      </c>
    </row>
    <row r="46" spans="1:64" x14ac:dyDescent="0.35">
      <c r="A46" t="s">
        <v>17</v>
      </c>
      <c r="B46" t="s">
        <v>663</v>
      </c>
      <c r="C46" t="s">
        <v>18</v>
      </c>
      <c r="D46" t="s">
        <v>581</v>
      </c>
      <c r="E46" t="s">
        <v>718</v>
      </c>
      <c r="F46" t="s">
        <v>582</v>
      </c>
      <c r="G46" t="s">
        <v>581</v>
      </c>
      <c r="H46" s="1">
        <v>3049.5</v>
      </c>
      <c r="I46" s="1" t="s">
        <v>665</v>
      </c>
      <c r="J46" s="1">
        <v>4066</v>
      </c>
      <c r="K46" s="1">
        <v>0</v>
      </c>
      <c r="L46" s="1">
        <v>546.34488787462078</v>
      </c>
      <c r="M46" s="1">
        <v>906.11683006535941</v>
      </c>
      <c r="N46" s="1">
        <v>834</v>
      </c>
      <c r="O46" s="1">
        <v>539.59340659340614</v>
      </c>
      <c r="P46" s="1">
        <v>0</v>
      </c>
      <c r="Q46" s="1">
        <v>2033</v>
      </c>
      <c r="R46" s="1">
        <v>2642.9</v>
      </c>
      <c r="S46" s="1">
        <v>532</v>
      </c>
      <c r="T46" s="1">
        <v>1036</v>
      </c>
      <c r="U46" s="1">
        <v>4066</v>
      </c>
      <c r="V46" s="3">
        <f>_xlfn.XLOOKUP(Table2[[#This Row],[admin3Pcode]],'Inter-sector dataset'!F:F,'Inter-sector dataset'!Q:Q)</f>
        <v>0</v>
      </c>
      <c r="W46" s="3">
        <f>_xlfn.XLOOKUP(Table2[[#This Row],[admin3Pcode]],'Inter-sector dataset'!F:F,'Inter-sector dataset'!R:R)</f>
        <v>0</v>
      </c>
      <c r="X46" s="1">
        <f>IFERROR(Table2[[#This Row],[Health_PIN]]*$V46,)</f>
        <v>0</v>
      </c>
      <c r="Y46" s="1">
        <f>IFERROR(Table2[[#This Row],[CCCM_PIN]]*$V46,)</f>
        <v>0</v>
      </c>
      <c r="Z46" s="1">
        <f>IFERROR(Table2[[#This Row],[ERL_PIN]]*$V46,)</f>
        <v>0</v>
      </c>
      <c r="AA46" s="1">
        <f>IFERROR(Table2[[#This Row],[NFI_PIN]]*$V46,)</f>
        <v>0</v>
      </c>
      <c r="AB46" s="1">
        <f>IFERROR(Table2[[#This Row],[Nutrition_PIN]]*$V46,)</f>
        <v>0</v>
      </c>
      <c r="AC46" s="1">
        <f>IFERROR(Table2[[#This Row],[Education_PIN]]*$V46,)</f>
        <v>0</v>
      </c>
      <c r="AD46" s="1">
        <f>IFERROR(Table2[[#This Row],[Shelter_PIN]]*$V46,)</f>
        <v>0</v>
      </c>
      <c r="AE46" s="1">
        <f>IFERROR(Table2[[#This Row],[WASH_PIN]]*$V46,)</f>
        <v>0</v>
      </c>
      <c r="AF46" s="1">
        <f>IFERROR(Table2[[#This Row],[WASH_acute_PIN]]*$V46,)</f>
        <v>0</v>
      </c>
      <c r="AG46" s="1">
        <f>IFERROR(Table2[[#This Row],[Protection_PIN]]*$V46,)</f>
        <v>0</v>
      </c>
      <c r="AH46" s="1">
        <f>IFERROR(Table2[[#This Row],[Food_PIN]]*$V46,)</f>
        <v>0</v>
      </c>
      <c r="AI46" s="1">
        <f>IFERROR(Table2[[#This Row],[Protection_CP_PIN]]*$V46,)</f>
        <v>0</v>
      </c>
      <c r="AJ46" s="1">
        <f>IFERROR(Table2[[#This Row],[Protection_GBV_PIN]]*$V46,)</f>
        <v>0</v>
      </c>
      <c r="AK46" s="1">
        <f>IFERROR(Table2[[#This Row],[Protection_MA_PIN]]*$V46,)</f>
        <v>0</v>
      </c>
      <c r="AL46" s="1">
        <f>IFERROR(Table2[[#This Row],[Health_PIN]]*$W46,)</f>
        <v>0</v>
      </c>
      <c r="AM46" s="1">
        <f>IFERROR(Table2[[#This Row],[CCCM_PIN]]*$W46,)</f>
        <v>0</v>
      </c>
      <c r="AN46" s="1">
        <f>IFERROR(Table2[[#This Row],[ERL_PIN]]*$W46,)</f>
        <v>0</v>
      </c>
      <c r="AO46" s="1">
        <f>IFERROR(Table2[[#This Row],[NFI_PIN]]*$W46,)</f>
        <v>0</v>
      </c>
      <c r="AP46" s="1">
        <f>IFERROR(Table2[[#This Row],[Nutrition_PIN]]*$W46,)</f>
        <v>0</v>
      </c>
      <c r="AQ46" s="1">
        <f>IFERROR(Table2[[#This Row],[Education_PIN]]*$W46,)</f>
        <v>0</v>
      </c>
      <c r="AR46" s="1">
        <f>IFERROR(Table2[[#This Row],[Shelter_PIN]]*$W46,)</f>
        <v>0</v>
      </c>
      <c r="AS46" s="1">
        <f>IFERROR(Table2[[#This Row],[WASH_PIN]]*$W46,)</f>
        <v>0</v>
      </c>
      <c r="AT46" s="1">
        <f>IFERROR(Table2[[#This Row],[WASH_acute_PIN]]*$W46,)</f>
        <v>0</v>
      </c>
      <c r="AU46" s="1">
        <f>IFERROR(Table2[[#This Row],[Protection_PIN]]*$W46,)</f>
        <v>0</v>
      </c>
      <c r="AV46" s="1">
        <f>IFERROR(Table2[[#This Row],[Food_PIN]]*$W46,)</f>
        <v>0</v>
      </c>
      <c r="AW46" s="1">
        <f>IFERROR(Table2[[#This Row],[Protection_CP_PIN]]*$W46,)</f>
        <v>0</v>
      </c>
      <c r="AX46" s="1">
        <f>IFERROR(Table2[[#This Row],[Protection_GBV_PIN]]*$W46,)</f>
        <v>0</v>
      </c>
      <c r="AY46" s="1">
        <f>IFERROR(Table2[[#This Row],[Protection_MA_PIN]]*$W46,)</f>
        <v>0</v>
      </c>
      <c r="AZ46" s="1">
        <v>3</v>
      </c>
      <c r="BA46" s="1">
        <v>3</v>
      </c>
      <c r="BB46" s="1">
        <v>4</v>
      </c>
      <c r="BC46" s="1">
        <v>1</v>
      </c>
      <c r="BD46" s="1">
        <v>3</v>
      </c>
      <c r="BE46" s="1">
        <v>4</v>
      </c>
      <c r="BF46" s="1">
        <v>3</v>
      </c>
      <c r="BG46" s="1">
        <v>3</v>
      </c>
      <c r="BH46" s="1">
        <v>3</v>
      </c>
      <c r="BI46" s="1">
        <v>3</v>
      </c>
      <c r="BJ46" s="1">
        <v>4</v>
      </c>
      <c r="BK46" s="1" t="s">
        <v>665</v>
      </c>
      <c r="BL46" s="1">
        <v>2</v>
      </c>
    </row>
    <row r="47" spans="1:64" x14ac:dyDescent="0.35">
      <c r="A47" t="s">
        <v>168</v>
      </c>
      <c r="B47" t="s">
        <v>681</v>
      </c>
      <c r="C47" t="s">
        <v>169</v>
      </c>
      <c r="D47" t="s">
        <v>589</v>
      </c>
      <c r="E47" t="s">
        <v>719</v>
      </c>
      <c r="F47" t="s">
        <v>590</v>
      </c>
      <c r="G47" t="s">
        <v>589</v>
      </c>
      <c r="H47" s="1">
        <v>3244.5</v>
      </c>
      <c r="I47" s="1" t="s">
        <v>665</v>
      </c>
      <c r="J47" s="1">
        <v>1637</v>
      </c>
      <c r="K47" s="1">
        <v>197</v>
      </c>
      <c r="L47" s="1">
        <v>1106.4094857659802</v>
      </c>
      <c r="M47" s="1">
        <v>561.99618397983784</v>
      </c>
      <c r="N47" s="1">
        <v>1025</v>
      </c>
      <c r="O47" s="1">
        <v>4326</v>
      </c>
      <c r="P47" s="1">
        <v>0</v>
      </c>
      <c r="Q47" s="1">
        <v>2163</v>
      </c>
      <c r="R47" s="1">
        <v>3204.4444444444443</v>
      </c>
      <c r="S47" s="1">
        <v>587.6</v>
      </c>
      <c r="T47" s="1">
        <v>1128</v>
      </c>
      <c r="U47" s="1">
        <v>3116</v>
      </c>
      <c r="V47" s="3">
        <f>_xlfn.XLOOKUP(Table2[[#This Row],[admin3Pcode]],'Inter-sector dataset'!F:F,'Inter-sector dataset'!Q:Q)</f>
        <v>0</v>
      </c>
      <c r="W47" s="3">
        <f>_xlfn.XLOOKUP(Table2[[#This Row],[admin3Pcode]],'Inter-sector dataset'!F:F,'Inter-sector dataset'!R:R)</f>
        <v>0</v>
      </c>
      <c r="X47" s="1">
        <f>IFERROR(Table2[[#This Row],[Health_PIN]]*$V47,)</f>
        <v>0</v>
      </c>
      <c r="Y47" s="1">
        <f>IFERROR(Table2[[#This Row],[CCCM_PIN]]*$V47,)</f>
        <v>0</v>
      </c>
      <c r="Z47" s="1">
        <f>IFERROR(Table2[[#This Row],[ERL_PIN]]*$V47,)</f>
        <v>0</v>
      </c>
      <c r="AA47" s="1">
        <f>IFERROR(Table2[[#This Row],[NFI_PIN]]*$V47,)</f>
        <v>0</v>
      </c>
      <c r="AB47" s="1">
        <f>IFERROR(Table2[[#This Row],[Nutrition_PIN]]*$V47,)</f>
        <v>0</v>
      </c>
      <c r="AC47" s="1">
        <f>IFERROR(Table2[[#This Row],[Education_PIN]]*$V47,)</f>
        <v>0</v>
      </c>
      <c r="AD47" s="1">
        <f>IFERROR(Table2[[#This Row],[Shelter_PIN]]*$V47,)</f>
        <v>0</v>
      </c>
      <c r="AE47" s="1">
        <f>IFERROR(Table2[[#This Row],[WASH_PIN]]*$V47,)</f>
        <v>0</v>
      </c>
      <c r="AF47" s="1">
        <f>IFERROR(Table2[[#This Row],[WASH_acute_PIN]]*$V47,)</f>
        <v>0</v>
      </c>
      <c r="AG47" s="1">
        <f>IFERROR(Table2[[#This Row],[Protection_PIN]]*$V47,)</f>
        <v>0</v>
      </c>
      <c r="AH47" s="1">
        <f>IFERROR(Table2[[#This Row],[Food_PIN]]*$V47,)</f>
        <v>0</v>
      </c>
      <c r="AI47" s="1">
        <f>IFERROR(Table2[[#This Row],[Protection_CP_PIN]]*$V47,)</f>
        <v>0</v>
      </c>
      <c r="AJ47" s="1">
        <f>IFERROR(Table2[[#This Row],[Protection_GBV_PIN]]*$V47,)</f>
        <v>0</v>
      </c>
      <c r="AK47" s="1">
        <f>IFERROR(Table2[[#This Row],[Protection_MA_PIN]]*$V47,)</f>
        <v>0</v>
      </c>
      <c r="AL47" s="1">
        <f>IFERROR(Table2[[#This Row],[Health_PIN]]*$W47,)</f>
        <v>0</v>
      </c>
      <c r="AM47" s="1">
        <f>IFERROR(Table2[[#This Row],[CCCM_PIN]]*$W47,)</f>
        <v>0</v>
      </c>
      <c r="AN47" s="1">
        <f>IFERROR(Table2[[#This Row],[ERL_PIN]]*$W47,)</f>
        <v>0</v>
      </c>
      <c r="AO47" s="1">
        <f>IFERROR(Table2[[#This Row],[NFI_PIN]]*$W47,)</f>
        <v>0</v>
      </c>
      <c r="AP47" s="1">
        <f>IFERROR(Table2[[#This Row],[Nutrition_PIN]]*$W47,)</f>
        <v>0</v>
      </c>
      <c r="AQ47" s="1">
        <f>IFERROR(Table2[[#This Row],[Education_PIN]]*$W47,)</f>
        <v>0</v>
      </c>
      <c r="AR47" s="1">
        <f>IFERROR(Table2[[#This Row],[Shelter_PIN]]*$W47,)</f>
        <v>0</v>
      </c>
      <c r="AS47" s="1">
        <f>IFERROR(Table2[[#This Row],[WASH_PIN]]*$W47,)</f>
        <v>0</v>
      </c>
      <c r="AT47" s="1">
        <f>IFERROR(Table2[[#This Row],[WASH_acute_PIN]]*$W47,)</f>
        <v>0</v>
      </c>
      <c r="AU47" s="1">
        <f>IFERROR(Table2[[#This Row],[Protection_PIN]]*$W47,)</f>
        <v>0</v>
      </c>
      <c r="AV47" s="1">
        <f>IFERROR(Table2[[#This Row],[Food_PIN]]*$W47,)</f>
        <v>0</v>
      </c>
      <c r="AW47" s="1">
        <f>IFERROR(Table2[[#This Row],[Protection_CP_PIN]]*$W47,)</f>
        <v>0</v>
      </c>
      <c r="AX47" s="1">
        <f>IFERROR(Table2[[#This Row],[Protection_GBV_PIN]]*$W47,)</f>
        <v>0</v>
      </c>
      <c r="AY47" s="1">
        <f>IFERROR(Table2[[#This Row],[Protection_MA_PIN]]*$W47,)</f>
        <v>0</v>
      </c>
      <c r="AZ47" s="1">
        <v>3</v>
      </c>
      <c r="BA47" s="1">
        <v>4</v>
      </c>
      <c r="BB47" s="1">
        <v>4</v>
      </c>
      <c r="BC47" s="1">
        <v>2</v>
      </c>
      <c r="BD47" s="1">
        <v>2</v>
      </c>
      <c r="BE47" s="1">
        <v>4</v>
      </c>
      <c r="BF47" s="1">
        <v>3</v>
      </c>
      <c r="BG47" s="1">
        <v>3</v>
      </c>
      <c r="BH47" s="1">
        <v>3</v>
      </c>
      <c r="BI47" s="1">
        <v>3</v>
      </c>
      <c r="BJ47" s="1">
        <v>4</v>
      </c>
      <c r="BK47" s="1" t="s">
        <v>665</v>
      </c>
      <c r="BL47" s="1">
        <v>3</v>
      </c>
    </row>
    <row r="48" spans="1:64" x14ac:dyDescent="0.35">
      <c r="A48" t="s">
        <v>192</v>
      </c>
      <c r="B48" t="s">
        <v>711</v>
      </c>
      <c r="C48" t="s">
        <v>193</v>
      </c>
      <c r="D48" t="s">
        <v>565</v>
      </c>
      <c r="E48" t="s">
        <v>720</v>
      </c>
      <c r="F48" t="s">
        <v>566</v>
      </c>
      <c r="G48" t="s">
        <v>565</v>
      </c>
      <c r="H48" s="1">
        <v>3394.5</v>
      </c>
      <c r="I48" s="1" t="s">
        <v>665</v>
      </c>
      <c r="J48" s="1">
        <v>4083</v>
      </c>
      <c r="K48" s="1">
        <v>246</v>
      </c>
      <c r="L48" s="1">
        <v>1163.727501642752</v>
      </c>
      <c r="M48" s="1">
        <v>510.20833333333445</v>
      </c>
      <c r="N48" s="1">
        <v>905</v>
      </c>
      <c r="O48" s="1">
        <v>4526</v>
      </c>
      <c r="P48" s="1">
        <v>1651</v>
      </c>
      <c r="Q48" s="1">
        <v>2263</v>
      </c>
      <c r="R48" s="1">
        <v>2506.1322314049585</v>
      </c>
      <c r="S48" s="1">
        <v>1326</v>
      </c>
      <c r="T48" s="1">
        <v>1934</v>
      </c>
      <c r="U48" s="1">
        <v>2721</v>
      </c>
      <c r="V48" s="3">
        <f>_xlfn.XLOOKUP(Table2[[#This Row],[admin3Pcode]],'Inter-sector dataset'!F:F,'Inter-sector dataset'!Q:Q)</f>
        <v>0</v>
      </c>
      <c r="W48" s="3">
        <f>_xlfn.XLOOKUP(Table2[[#This Row],[admin3Pcode]],'Inter-sector dataset'!F:F,'Inter-sector dataset'!R:R)</f>
        <v>0</v>
      </c>
      <c r="X48" s="1">
        <f>IFERROR(Table2[[#This Row],[Health_PIN]]*$V48,)</f>
        <v>0</v>
      </c>
      <c r="Y48" s="1">
        <f>IFERROR(Table2[[#This Row],[CCCM_PIN]]*$V48,)</f>
        <v>0</v>
      </c>
      <c r="Z48" s="1">
        <f>IFERROR(Table2[[#This Row],[ERL_PIN]]*$V48,)</f>
        <v>0</v>
      </c>
      <c r="AA48" s="1">
        <f>IFERROR(Table2[[#This Row],[NFI_PIN]]*$V48,)</f>
        <v>0</v>
      </c>
      <c r="AB48" s="1">
        <f>IFERROR(Table2[[#This Row],[Nutrition_PIN]]*$V48,)</f>
        <v>0</v>
      </c>
      <c r="AC48" s="1">
        <f>IFERROR(Table2[[#This Row],[Education_PIN]]*$V48,)</f>
        <v>0</v>
      </c>
      <c r="AD48" s="1">
        <f>IFERROR(Table2[[#This Row],[Shelter_PIN]]*$V48,)</f>
        <v>0</v>
      </c>
      <c r="AE48" s="1">
        <f>IFERROR(Table2[[#This Row],[WASH_PIN]]*$V48,)</f>
        <v>0</v>
      </c>
      <c r="AF48" s="1">
        <f>IFERROR(Table2[[#This Row],[WASH_acute_PIN]]*$V48,)</f>
        <v>0</v>
      </c>
      <c r="AG48" s="1">
        <f>IFERROR(Table2[[#This Row],[Protection_PIN]]*$V48,)</f>
        <v>0</v>
      </c>
      <c r="AH48" s="1">
        <f>IFERROR(Table2[[#This Row],[Food_PIN]]*$V48,)</f>
        <v>0</v>
      </c>
      <c r="AI48" s="1">
        <f>IFERROR(Table2[[#This Row],[Protection_CP_PIN]]*$V48,)</f>
        <v>0</v>
      </c>
      <c r="AJ48" s="1">
        <f>IFERROR(Table2[[#This Row],[Protection_GBV_PIN]]*$V48,)</f>
        <v>0</v>
      </c>
      <c r="AK48" s="1">
        <f>IFERROR(Table2[[#This Row],[Protection_MA_PIN]]*$V48,)</f>
        <v>0</v>
      </c>
      <c r="AL48" s="1">
        <f>IFERROR(Table2[[#This Row],[Health_PIN]]*$W48,)</f>
        <v>0</v>
      </c>
      <c r="AM48" s="1">
        <f>IFERROR(Table2[[#This Row],[CCCM_PIN]]*$W48,)</f>
        <v>0</v>
      </c>
      <c r="AN48" s="1">
        <f>IFERROR(Table2[[#This Row],[ERL_PIN]]*$W48,)</f>
        <v>0</v>
      </c>
      <c r="AO48" s="1">
        <f>IFERROR(Table2[[#This Row],[NFI_PIN]]*$W48,)</f>
        <v>0</v>
      </c>
      <c r="AP48" s="1">
        <f>IFERROR(Table2[[#This Row],[Nutrition_PIN]]*$W48,)</f>
        <v>0</v>
      </c>
      <c r="AQ48" s="1">
        <f>IFERROR(Table2[[#This Row],[Education_PIN]]*$W48,)</f>
        <v>0</v>
      </c>
      <c r="AR48" s="1">
        <f>IFERROR(Table2[[#This Row],[Shelter_PIN]]*$W48,)</f>
        <v>0</v>
      </c>
      <c r="AS48" s="1">
        <f>IFERROR(Table2[[#This Row],[WASH_PIN]]*$W48,)</f>
        <v>0</v>
      </c>
      <c r="AT48" s="1">
        <f>IFERROR(Table2[[#This Row],[WASH_acute_PIN]]*$W48,)</f>
        <v>0</v>
      </c>
      <c r="AU48" s="1">
        <f>IFERROR(Table2[[#This Row],[Protection_PIN]]*$W48,)</f>
        <v>0</v>
      </c>
      <c r="AV48" s="1">
        <f>IFERROR(Table2[[#This Row],[Food_PIN]]*$W48,)</f>
        <v>0</v>
      </c>
      <c r="AW48" s="1">
        <f>IFERROR(Table2[[#This Row],[Protection_CP_PIN]]*$W48,)</f>
        <v>0</v>
      </c>
      <c r="AX48" s="1">
        <f>IFERROR(Table2[[#This Row],[Protection_GBV_PIN]]*$W48,)</f>
        <v>0</v>
      </c>
      <c r="AY48" s="1">
        <f>IFERROR(Table2[[#This Row],[Protection_MA_PIN]]*$W48,)</f>
        <v>0</v>
      </c>
      <c r="AZ48" s="1">
        <v>2</v>
      </c>
      <c r="BA48" s="1">
        <v>3</v>
      </c>
      <c r="BB48" s="1">
        <v>4</v>
      </c>
      <c r="BC48" s="1">
        <v>2</v>
      </c>
      <c r="BD48" s="1">
        <v>3</v>
      </c>
      <c r="BE48" s="1">
        <v>4</v>
      </c>
      <c r="BF48" s="1">
        <v>3</v>
      </c>
      <c r="BG48" s="1">
        <v>4</v>
      </c>
      <c r="BH48" s="1">
        <v>4</v>
      </c>
      <c r="BI48" s="1">
        <v>3</v>
      </c>
      <c r="BJ48" s="1">
        <v>3</v>
      </c>
      <c r="BK48" s="1" t="s">
        <v>665</v>
      </c>
      <c r="BL48" s="1">
        <v>4</v>
      </c>
    </row>
    <row r="49" spans="1:64" x14ac:dyDescent="0.35">
      <c r="A49" t="s">
        <v>12</v>
      </c>
      <c r="B49" t="s">
        <v>673</v>
      </c>
      <c r="C49" t="s">
        <v>13</v>
      </c>
      <c r="D49" t="s">
        <v>573</v>
      </c>
      <c r="E49" t="s">
        <v>721</v>
      </c>
      <c r="F49" t="s">
        <v>574</v>
      </c>
      <c r="G49" t="s">
        <v>573</v>
      </c>
      <c r="H49" s="1">
        <v>2432.5</v>
      </c>
      <c r="I49" s="1" t="s">
        <v>665</v>
      </c>
      <c r="J49" s="1">
        <v>4815</v>
      </c>
      <c r="K49" s="1">
        <v>1126</v>
      </c>
      <c r="L49" s="1">
        <v>1103.6131644011703</v>
      </c>
      <c r="M49" s="1">
        <v>1599.5999999999997</v>
      </c>
      <c r="N49" s="1">
        <v>306</v>
      </c>
      <c r="O49" s="1">
        <v>2340.5726969049169</v>
      </c>
      <c r="P49" s="1">
        <v>0</v>
      </c>
      <c r="Q49" s="1">
        <v>2433</v>
      </c>
      <c r="R49" s="1">
        <v>1273.0841121495328</v>
      </c>
      <c r="S49" s="1">
        <v>1074.9000000000001</v>
      </c>
      <c r="T49" s="1">
        <v>785</v>
      </c>
      <c r="U49" s="1">
        <v>261</v>
      </c>
      <c r="V49" s="3">
        <f>_xlfn.XLOOKUP(Table2[[#This Row],[admin3Pcode]],'Inter-sector dataset'!F:F,'Inter-sector dataset'!Q:Q)</f>
        <v>0</v>
      </c>
      <c r="W49" s="3">
        <f>_xlfn.XLOOKUP(Table2[[#This Row],[admin3Pcode]],'Inter-sector dataset'!F:F,'Inter-sector dataset'!R:R)</f>
        <v>0</v>
      </c>
      <c r="X49" s="1">
        <f>IFERROR(Table2[[#This Row],[Health_PIN]]*$V49,)</f>
        <v>0</v>
      </c>
      <c r="Y49" s="1">
        <f>IFERROR(Table2[[#This Row],[CCCM_PIN]]*$V49,)</f>
        <v>0</v>
      </c>
      <c r="Z49" s="1">
        <f>IFERROR(Table2[[#This Row],[ERL_PIN]]*$V49,)</f>
        <v>0</v>
      </c>
      <c r="AA49" s="1">
        <f>IFERROR(Table2[[#This Row],[NFI_PIN]]*$V49,)</f>
        <v>0</v>
      </c>
      <c r="AB49" s="1">
        <f>IFERROR(Table2[[#This Row],[Nutrition_PIN]]*$V49,)</f>
        <v>0</v>
      </c>
      <c r="AC49" s="1">
        <f>IFERROR(Table2[[#This Row],[Education_PIN]]*$V49,)</f>
        <v>0</v>
      </c>
      <c r="AD49" s="1">
        <f>IFERROR(Table2[[#This Row],[Shelter_PIN]]*$V49,)</f>
        <v>0</v>
      </c>
      <c r="AE49" s="1">
        <f>IFERROR(Table2[[#This Row],[WASH_PIN]]*$V49,)</f>
        <v>0</v>
      </c>
      <c r="AF49" s="1">
        <f>IFERROR(Table2[[#This Row],[WASH_acute_PIN]]*$V49,)</f>
        <v>0</v>
      </c>
      <c r="AG49" s="1">
        <f>IFERROR(Table2[[#This Row],[Protection_PIN]]*$V49,)</f>
        <v>0</v>
      </c>
      <c r="AH49" s="1">
        <f>IFERROR(Table2[[#This Row],[Food_PIN]]*$V49,)</f>
        <v>0</v>
      </c>
      <c r="AI49" s="1">
        <f>IFERROR(Table2[[#This Row],[Protection_CP_PIN]]*$V49,)</f>
        <v>0</v>
      </c>
      <c r="AJ49" s="1">
        <f>IFERROR(Table2[[#This Row],[Protection_GBV_PIN]]*$V49,)</f>
        <v>0</v>
      </c>
      <c r="AK49" s="1">
        <f>IFERROR(Table2[[#This Row],[Protection_MA_PIN]]*$V49,)</f>
        <v>0</v>
      </c>
      <c r="AL49" s="1">
        <f>IFERROR(Table2[[#This Row],[Health_PIN]]*$W49,)</f>
        <v>0</v>
      </c>
      <c r="AM49" s="1">
        <f>IFERROR(Table2[[#This Row],[CCCM_PIN]]*$W49,)</f>
        <v>0</v>
      </c>
      <c r="AN49" s="1">
        <f>IFERROR(Table2[[#This Row],[ERL_PIN]]*$W49,)</f>
        <v>0</v>
      </c>
      <c r="AO49" s="1">
        <f>IFERROR(Table2[[#This Row],[NFI_PIN]]*$W49,)</f>
        <v>0</v>
      </c>
      <c r="AP49" s="1">
        <f>IFERROR(Table2[[#This Row],[Nutrition_PIN]]*$W49,)</f>
        <v>0</v>
      </c>
      <c r="AQ49" s="1">
        <f>IFERROR(Table2[[#This Row],[Education_PIN]]*$W49,)</f>
        <v>0</v>
      </c>
      <c r="AR49" s="1">
        <f>IFERROR(Table2[[#This Row],[Shelter_PIN]]*$W49,)</f>
        <v>0</v>
      </c>
      <c r="AS49" s="1">
        <f>IFERROR(Table2[[#This Row],[WASH_PIN]]*$W49,)</f>
        <v>0</v>
      </c>
      <c r="AT49" s="1">
        <f>IFERROR(Table2[[#This Row],[WASH_acute_PIN]]*$W49,)</f>
        <v>0</v>
      </c>
      <c r="AU49" s="1">
        <f>IFERROR(Table2[[#This Row],[Protection_PIN]]*$W49,)</f>
        <v>0</v>
      </c>
      <c r="AV49" s="1">
        <f>IFERROR(Table2[[#This Row],[Food_PIN]]*$W49,)</f>
        <v>0</v>
      </c>
      <c r="AW49" s="1">
        <f>IFERROR(Table2[[#This Row],[Protection_CP_PIN]]*$W49,)</f>
        <v>0</v>
      </c>
      <c r="AX49" s="1">
        <f>IFERROR(Table2[[#This Row],[Protection_GBV_PIN]]*$W49,)</f>
        <v>0</v>
      </c>
      <c r="AY49" s="1">
        <f>IFERROR(Table2[[#This Row],[Protection_MA_PIN]]*$W49,)</f>
        <v>0</v>
      </c>
      <c r="AZ49" s="1">
        <v>2</v>
      </c>
      <c r="BA49" s="1">
        <v>4</v>
      </c>
      <c r="BB49" s="1">
        <v>4</v>
      </c>
      <c r="BC49" s="1">
        <v>3</v>
      </c>
      <c r="BD49" s="1">
        <v>3</v>
      </c>
      <c r="BE49" s="1">
        <v>3</v>
      </c>
      <c r="BF49" s="1">
        <v>3</v>
      </c>
      <c r="BG49" s="1">
        <v>4</v>
      </c>
      <c r="BH49" s="1">
        <v>2</v>
      </c>
      <c r="BI49" s="1">
        <v>3</v>
      </c>
      <c r="BJ49" s="1">
        <v>3</v>
      </c>
      <c r="BK49" s="1" t="s">
        <v>665</v>
      </c>
      <c r="BL49" s="1">
        <v>3</v>
      </c>
    </row>
    <row r="50" spans="1:64" x14ac:dyDescent="0.35">
      <c r="A50" t="s">
        <v>6</v>
      </c>
      <c r="B50" t="s">
        <v>667</v>
      </c>
      <c r="C50" t="s">
        <v>7</v>
      </c>
      <c r="D50" t="s">
        <v>585</v>
      </c>
      <c r="E50" t="s">
        <v>722</v>
      </c>
      <c r="F50" t="s">
        <v>586</v>
      </c>
      <c r="G50" t="s">
        <v>585</v>
      </c>
      <c r="H50" s="1">
        <v>2712.5</v>
      </c>
      <c r="I50" s="1" t="s">
        <v>665</v>
      </c>
      <c r="J50" s="1">
        <v>4318</v>
      </c>
      <c r="K50" s="1">
        <v>0</v>
      </c>
      <c r="L50" s="1">
        <v>1156.421615466495</v>
      </c>
      <c r="M50" s="1">
        <v>315.75714285714292</v>
      </c>
      <c r="N50" s="1">
        <v>0</v>
      </c>
      <c r="O50" s="1">
        <v>1048.0113636363635</v>
      </c>
      <c r="P50" s="1">
        <v>123</v>
      </c>
      <c r="Q50" s="1">
        <v>2713</v>
      </c>
      <c r="R50" s="1">
        <v>2411.1111111111113</v>
      </c>
      <c r="S50" s="1">
        <v>544.4</v>
      </c>
      <c r="T50" s="1">
        <v>880</v>
      </c>
      <c r="U50" s="1" t="s">
        <v>665</v>
      </c>
      <c r="V50" s="3">
        <f>_xlfn.XLOOKUP(Table2[[#This Row],[admin3Pcode]],'Inter-sector dataset'!F:F,'Inter-sector dataset'!Q:Q)</f>
        <v>0</v>
      </c>
      <c r="W50" s="3">
        <f>_xlfn.XLOOKUP(Table2[[#This Row],[admin3Pcode]],'Inter-sector dataset'!F:F,'Inter-sector dataset'!R:R)</f>
        <v>0</v>
      </c>
      <c r="X50" s="1">
        <f>IFERROR(Table2[[#This Row],[Health_PIN]]*$V50,)</f>
        <v>0</v>
      </c>
      <c r="Y50" s="1">
        <f>IFERROR(Table2[[#This Row],[CCCM_PIN]]*$V50,)</f>
        <v>0</v>
      </c>
      <c r="Z50" s="1">
        <f>IFERROR(Table2[[#This Row],[ERL_PIN]]*$V50,)</f>
        <v>0</v>
      </c>
      <c r="AA50" s="1">
        <f>IFERROR(Table2[[#This Row],[NFI_PIN]]*$V50,)</f>
        <v>0</v>
      </c>
      <c r="AB50" s="1">
        <f>IFERROR(Table2[[#This Row],[Nutrition_PIN]]*$V50,)</f>
        <v>0</v>
      </c>
      <c r="AC50" s="1">
        <f>IFERROR(Table2[[#This Row],[Education_PIN]]*$V50,)</f>
        <v>0</v>
      </c>
      <c r="AD50" s="1">
        <f>IFERROR(Table2[[#This Row],[Shelter_PIN]]*$V50,)</f>
        <v>0</v>
      </c>
      <c r="AE50" s="1">
        <f>IFERROR(Table2[[#This Row],[WASH_PIN]]*$V50,)</f>
        <v>0</v>
      </c>
      <c r="AF50" s="1">
        <f>IFERROR(Table2[[#This Row],[WASH_acute_PIN]]*$V50,)</f>
        <v>0</v>
      </c>
      <c r="AG50" s="1">
        <f>IFERROR(Table2[[#This Row],[Protection_PIN]]*$V50,)</f>
        <v>0</v>
      </c>
      <c r="AH50" s="1">
        <f>IFERROR(Table2[[#This Row],[Food_PIN]]*$V50,)</f>
        <v>0</v>
      </c>
      <c r="AI50" s="1">
        <f>IFERROR(Table2[[#This Row],[Protection_CP_PIN]]*$V50,)</f>
        <v>0</v>
      </c>
      <c r="AJ50" s="1">
        <f>IFERROR(Table2[[#This Row],[Protection_GBV_PIN]]*$V50,)</f>
        <v>0</v>
      </c>
      <c r="AK50" s="1">
        <f>IFERROR(Table2[[#This Row],[Protection_MA_PIN]]*$V50,)</f>
        <v>0</v>
      </c>
      <c r="AL50" s="1">
        <f>IFERROR(Table2[[#This Row],[Health_PIN]]*$W50,)</f>
        <v>0</v>
      </c>
      <c r="AM50" s="1">
        <f>IFERROR(Table2[[#This Row],[CCCM_PIN]]*$W50,)</f>
        <v>0</v>
      </c>
      <c r="AN50" s="1">
        <f>IFERROR(Table2[[#This Row],[ERL_PIN]]*$W50,)</f>
        <v>0</v>
      </c>
      <c r="AO50" s="1">
        <f>IFERROR(Table2[[#This Row],[NFI_PIN]]*$W50,)</f>
        <v>0</v>
      </c>
      <c r="AP50" s="1">
        <f>IFERROR(Table2[[#This Row],[Nutrition_PIN]]*$W50,)</f>
        <v>0</v>
      </c>
      <c r="AQ50" s="1">
        <f>IFERROR(Table2[[#This Row],[Education_PIN]]*$W50,)</f>
        <v>0</v>
      </c>
      <c r="AR50" s="1">
        <f>IFERROR(Table2[[#This Row],[Shelter_PIN]]*$W50,)</f>
        <v>0</v>
      </c>
      <c r="AS50" s="1">
        <f>IFERROR(Table2[[#This Row],[WASH_PIN]]*$W50,)</f>
        <v>0</v>
      </c>
      <c r="AT50" s="1">
        <f>IFERROR(Table2[[#This Row],[WASH_acute_PIN]]*$W50,)</f>
        <v>0</v>
      </c>
      <c r="AU50" s="1">
        <f>IFERROR(Table2[[#This Row],[Protection_PIN]]*$W50,)</f>
        <v>0</v>
      </c>
      <c r="AV50" s="1">
        <f>IFERROR(Table2[[#This Row],[Food_PIN]]*$W50,)</f>
        <v>0</v>
      </c>
      <c r="AW50" s="1">
        <f>IFERROR(Table2[[#This Row],[Protection_CP_PIN]]*$W50,)</f>
        <v>0</v>
      </c>
      <c r="AX50" s="1">
        <f>IFERROR(Table2[[#This Row],[Protection_GBV_PIN]]*$W50,)</f>
        <v>0</v>
      </c>
      <c r="AY50" s="1">
        <f>IFERROR(Table2[[#This Row],[Protection_MA_PIN]]*$W50,)</f>
        <v>0</v>
      </c>
      <c r="AZ50" s="1">
        <v>1</v>
      </c>
      <c r="BA50" s="1">
        <v>3</v>
      </c>
      <c r="BB50" s="1">
        <v>4</v>
      </c>
      <c r="BC50" s="1">
        <v>1</v>
      </c>
      <c r="BD50" s="1">
        <v>3</v>
      </c>
      <c r="BE50" s="1">
        <v>3</v>
      </c>
      <c r="BF50" s="1">
        <v>3</v>
      </c>
      <c r="BG50" s="1">
        <v>3</v>
      </c>
      <c r="BH50" s="1">
        <v>2</v>
      </c>
      <c r="BI50" s="1">
        <v>3</v>
      </c>
      <c r="BJ50" s="1">
        <v>3</v>
      </c>
      <c r="BK50" s="1" t="s">
        <v>665</v>
      </c>
      <c r="BL50" s="1">
        <v>2</v>
      </c>
    </row>
    <row r="51" spans="1:64" x14ac:dyDescent="0.35">
      <c r="A51" t="s">
        <v>205</v>
      </c>
      <c r="B51" t="s">
        <v>723</v>
      </c>
      <c r="C51" t="s">
        <v>206</v>
      </c>
      <c r="D51" t="s">
        <v>549</v>
      </c>
      <c r="E51" t="s">
        <v>724</v>
      </c>
      <c r="F51" t="s">
        <v>550</v>
      </c>
      <c r="G51" t="s">
        <v>549</v>
      </c>
      <c r="H51" s="1">
        <v>0</v>
      </c>
      <c r="I51" s="1" t="s">
        <v>665</v>
      </c>
      <c r="J51" s="1">
        <v>6497</v>
      </c>
      <c r="K51" s="1">
        <v>1312</v>
      </c>
      <c r="L51" s="1">
        <v>1519.2876314395057</v>
      </c>
      <c r="M51" s="1">
        <v>221.4603139190971</v>
      </c>
      <c r="N51" s="1">
        <v>1312</v>
      </c>
      <c r="O51" s="1">
        <v>6487.5155598867696</v>
      </c>
      <c r="P51" s="1">
        <v>4241</v>
      </c>
      <c r="Q51" s="1">
        <v>3281</v>
      </c>
      <c r="R51" s="1">
        <v>4617.7037037037044</v>
      </c>
      <c r="S51" s="1">
        <v>1372.8</v>
      </c>
      <c r="T51" s="1">
        <v>2772</v>
      </c>
      <c r="U51" s="1">
        <v>6562</v>
      </c>
      <c r="V51" s="3">
        <f>_xlfn.XLOOKUP(Table2[[#This Row],[admin3Pcode]],'Inter-sector dataset'!F:F,'Inter-sector dataset'!Q:Q)</f>
        <v>0</v>
      </c>
      <c r="W51" s="3">
        <f>_xlfn.XLOOKUP(Table2[[#This Row],[admin3Pcode]],'Inter-sector dataset'!F:F,'Inter-sector dataset'!R:R)</f>
        <v>0</v>
      </c>
      <c r="X51" s="1">
        <f>IFERROR(Table2[[#This Row],[Health_PIN]]*$V51,)</f>
        <v>0</v>
      </c>
      <c r="Y51" s="1">
        <f>IFERROR(Table2[[#This Row],[CCCM_PIN]]*$V51,)</f>
        <v>0</v>
      </c>
      <c r="Z51" s="1">
        <f>IFERROR(Table2[[#This Row],[ERL_PIN]]*$V51,)</f>
        <v>0</v>
      </c>
      <c r="AA51" s="1">
        <f>IFERROR(Table2[[#This Row],[NFI_PIN]]*$V51,)</f>
        <v>0</v>
      </c>
      <c r="AB51" s="1">
        <f>IFERROR(Table2[[#This Row],[Nutrition_PIN]]*$V51,)</f>
        <v>0</v>
      </c>
      <c r="AC51" s="1">
        <f>IFERROR(Table2[[#This Row],[Education_PIN]]*$V51,)</f>
        <v>0</v>
      </c>
      <c r="AD51" s="1">
        <f>IFERROR(Table2[[#This Row],[Shelter_PIN]]*$V51,)</f>
        <v>0</v>
      </c>
      <c r="AE51" s="1">
        <f>IFERROR(Table2[[#This Row],[WASH_PIN]]*$V51,)</f>
        <v>0</v>
      </c>
      <c r="AF51" s="1">
        <f>IFERROR(Table2[[#This Row],[WASH_acute_PIN]]*$V51,)</f>
        <v>0</v>
      </c>
      <c r="AG51" s="1">
        <f>IFERROR(Table2[[#This Row],[Protection_PIN]]*$V51,)</f>
        <v>0</v>
      </c>
      <c r="AH51" s="1">
        <f>IFERROR(Table2[[#This Row],[Food_PIN]]*$V51,)</f>
        <v>0</v>
      </c>
      <c r="AI51" s="1">
        <f>IFERROR(Table2[[#This Row],[Protection_CP_PIN]]*$V51,)</f>
        <v>0</v>
      </c>
      <c r="AJ51" s="1">
        <f>IFERROR(Table2[[#This Row],[Protection_GBV_PIN]]*$V51,)</f>
        <v>0</v>
      </c>
      <c r="AK51" s="1">
        <f>IFERROR(Table2[[#This Row],[Protection_MA_PIN]]*$V51,)</f>
        <v>0</v>
      </c>
      <c r="AL51" s="1">
        <f>IFERROR(Table2[[#This Row],[Health_PIN]]*$W51,)</f>
        <v>0</v>
      </c>
      <c r="AM51" s="1">
        <f>IFERROR(Table2[[#This Row],[CCCM_PIN]]*$W51,)</f>
        <v>0</v>
      </c>
      <c r="AN51" s="1">
        <f>IFERROR(Table2[[#This Row],[ERL_PIN]]*$W51,)</f>
        <v>0</v>
      </c>
      <c r="AO51" s="1">
        <f>IFERROR(Table2[[#This Row],[NFI_PIN]]*$W51,)</f>
        <v>0</v>
      </c>
      <c r="AP51" s="1">
        <f>IFERROR(Table2[[#This Row],[Nutrition_PIN]]*$W51,)</f>
        <v>0</v>
      </c>
      <c r="AQ51" s="1">
        <f>IFERROR(Table2[[#This Row],[Education_PIN]]*$W51,)</f>
        <v>0</v>
      </c>
      <c r="AR51" s="1">
        <f>IFERROR(Table2[[#This Row],[Shelter_PIN]]*$W51,)</f>
        <v>0</v>
      </c>
      <c r="AS51" s="1">
        <f>IFERROR(Table2[[#This Row],[WASH_PIN]]*$W51,)</f>
        <v>0</v>
      </c>
      <c r="AT51" s="1">
        <f>IFERROR(Table2[[#This Row],[WASH_acute_PIN]]*$W51,)</f>
        <v>0</v>
      </c>
      <c r="AU51" s="1">
        <f>IFERROR(Table2[[#This Row],[Protection_PIN]]*$W51,)</f>
        <v>0</v>
      </c>
      <c r="AV51" s="1">
        <f>IFERROR(Table2[[#This Row],[Food_PIN]]*$W51,)</f>
        <v>0</v>
      </c>
      <c r="AW51" s="1">
        <f>IFERROR(Table2[[#This Row],[Protection_CP_PIN]]*$W51,)</f>
        <v>0</v>
      </c>
      <c r="AX51" s="1">
        <f>IFERROR(Table2[[#This Row],[Protection_GBV_PIN]]*$W51,)</f>
        <v>0</v>
      </c>
      <c r="AY51" s="1">
        <f>IFERROR(Table2[[#This Row],[Protection_MA_PIN]]*$W51,)</f>
        <v>0</v>
      </c>
      <c r="AZ51" s="1">
        <v>2</v>
      </c>
      <c r="BA51" s="1">
        <v>2</v>
      </c>
      <c r="BB51" s="1">
        <v>4</v>
      </c>
      <c r="BC51" s="1">
        <v>2</v>
      </c>
      <c r="BD51" s="1">
        <v>3</v>
      </c>
      <c r="BE51" s="1">
        <v>2</v>
      </c>
      <c r="BF51" s="1">
        <v>3</v>
      </c>
      <c r="BG51" s="1">
        <v>4</v>
      </c>
      <c r="BH51" s="1">
        <v>4</v>
      </c>
      <c r="BI51" s="1">
        <v>3</v>
      </c>
      <c r="BJ51" s="1">
        <v>4</v>
      </c>
      <c r="BK51" s="1" t="s">
        <v>665</v>
      </c>
      <c r="BL51" s="1">
        <v>4</v>
      </c>
    </row>
    <row r="52" spans="1:64" x14ac:dyDescent="0.35">
      <c r="A52" t="s">
        <v>12</v>
      </c>
      <c r="B52" t="s">
        <v>673</v>
      </c>
      <c r="C52" t="s">
        <v>13</v>
      </c>
      <c r="D52" t="s">
        <v>577</v>
      </c>
      <c r="E52" t="s">
        <v>725</v>
      </c>
      <c r="F52" t="s">
        <v>578</v>
      </c>
      <c r="G52" t="s">
        <v>577</v>
      </c>
      <c r="H52" s="1">
        <v>0</v>
      </c>
      <c r="I52" s="1" t="s">
        <v>665</v>
      </c>
      <c r="J52" s="1">
        <v>3549</v>
      </c>
      <c r="K52" s="1">
        <v>1317</v>
      </c>
      <c r="L52" s="1">
        <v>1322.3929804084778</v>
      </c>
      <c r="M52" s="1">
        <v>396.78202029326769</v>
      </c>
      <c r="N52" s="1">
        <v>476</v>
      </c>
      <c r="O52" s="1">
        <v>624.96693373166761</v>
      </c>
      <c r="P52" s="1">
        <v>0</v>
      </c>
      <c r="Q52" s="1">
        <v>3293</v>
      </c>
      <c r="R52" s="1">
        <v>3559.4594594594591</v>
      </c>
      <c r="S52" s="1">
        <v>1146.3000000000002</v>
      </c>
      <c r="T52" s="1">
        <v>1052</v>
      </c>
      <c r="U52" s="1" t="s">
        <v>665</v>
      </c>
      <c r="V52" s="3">
        <f>_xlfn.XLOOKUP(Table2[[#This Row],[admin3Pcode]],'Inter-sector dataset'!F:F,'Inter-sector dataset'!Q:Q)</f>
        <v>0</v>
      </c>
      <c r="W52" s="3">
        <f>_xlfn.XLOOKUP(Table2[[#This Row],[admin3Pcode]],'Inter-sector dataset'!F:F,'Inter-sector dataset'!R:R)</f>
        <v>0</v>
      </c>
      <c r="X52" s="1">
        <f>IFERROR(Table2[[#This Row],[Health_PIN]]*$V52,)</f>
        <v>0</v>
      </c>
      <c r="Y52" s="1">
        <f>IFERROR(Table2[[#This Row],[CCCM_PIN]]*$V52,)</f>
        <v>0</v>
      </c>
      <c r="Z52" s="1">
        <f>IFERROR(Table2[[#This Row],[ERL_PIN]]*$V52,)</f>
        <v>0</v>
      </c>
      <c r="AA52" s="1">
        <f>IFERROR(Table2[[#This Row],[NFI_PIN]]*$V52,)</f>
        <v>0</v>
      </c>
      <c r="AB52" s="1">
        <f>IFERROR(Table2[[#This Row],[Nutrition_PIN]]*$V52,)</f>
        <v>0</v>
      </c>
      <c r="AC52" s="1">
        <f>IFERROR(Table2[[#This Row],[Education_PIN]]*$V52,)</f>
        <v>0</v>
      </c>
      <c r="AD52" s="1">
        <f>IFERROR(Table2[[#This Row],[Shelter_PIN]]*$V52,)</f>
        <v>0</v>
      </c>
      <c r="AE52" s="1">
        <f>IFERROR(Table2[[#This Row],[WASH_PIN]]*$V52,)</f>
        <v>0</v>
      </c>
      <c r="AF52" s="1">
        <f>IFERROR(Table2[[#This Row],[WASH_acute_PIN]]*$V52,)</f>
        <v>0</v>
      </c>
      <c r="AG52" s="1">
        <f>IFERROR(Table2[[#This Row],[Protection_PIN]]*$V52,)</f>
        <v>0</v>
      </c>
      <c r="AH52" s="1">
        <f>IFERROR(Table2[[#This Row],[Food_PIN]]*$V52,)</f>
        <v>0</v>
      </c>
      <c r="AI52" s="1">
        <f>IFERROR(Table2[[#This Row],[Protection_CP_PIN]]*$V52,)</f>
        <v>0</v>
      </c>
      <c r="AJ52" s="1">
        <f>IFERROR(Table2[[#This Row],[Protection_GBV_PIN]]*$V52,)</f>
        <v>0</v>
      </c>
      <c r="AK52" s="1">
        <f>IFERROR(Table2[[#This Row],[Protection_MA_PIN]]*$V52,)</f>
        <v>0</v>
      </c>
      <c r="AL52" s="1">
        <f>IFERROR(Table2[[#This Row],[Health_PIN]]*$W52,)</f>
        <v>0</v>
      </c>
      <c r="AM52" s="1">
        <f>IFERROR(Table2[[#This Row],[CCCM_PIN]]*$W52,)</f>
        <v>0</v>
      </c>
      <c r="AN52" s="1">
        <f>IFERROR(Table2[[#This Row],[ERL_PIN]]*$W52,)</f>
        <v>0</v>
      </c>
      <c r="AO52" s="1">
        <f>IFERROR(Table2[[#This Row],[NFI_PIN]]*$W52,)</f>
        <v>0</v>
      </c>
      <c r="AP52" s="1">
        <f>IFERROR(Table2[[#This Row],[Nutrition_PIN]]*$W52,)</f>
        <v>0</v>
      </c>
      <c r="AQ52" s="1">
        <f>IFERROR(Table2[[#This Row],[Education_PIN]]*$W52,)</f>
        <v>0</v>
      </c>
      <c r="AR52" s="1">
        <f>IFERROR(Table2[[#This Row],[Shelter_PIN]]*$W52,)</f>
        <v>0</v>
      </c>
      <c r="AS52" s="1">
        <f>IFERROR(Table2[[#This Row],[WASH_PIN]]*$W52,)</f>
        <v>0</v>
      </c>
      <c r="AT52" s="1">
        <f>IFERROR(Table2[[#This Row],[WASH_acute_PIN]]*$W52,)</f>
        <v>0</v>
      </c>
      <c r="AU52" s="1">
        <f>IFERROR(Table2[[#This Row],[Protection_PIN]]*$W52,)</f>
        <v>0</v>
      </c>
      <c r="AV52" s="1">
        <f>IFERROR(Table2[[#This Row],[Food_PIN]]*$W52,)</f>
        <v>0</v>
      </c>
      <c r="AW52" s="1">
        <f>IFERROR(Table2[[#This Row],[Protection_CP_PIN]]*$W52,)</f>
        <v>0</v>
      </c>
      <c r="AX52" s="1">
        <f>IFERROR(Table2[[#This Row],[Protection_GBV_PIN]]*$W52,)</f>
        <v>0</v>
      </c>
      <c r="AY52" s="1">
        <f>IFERROR(Table2[[#This Row],[Protection_MA_PIN]]*$W52,)</f>
        <v>0</v>
      </c>
      <c r="AZ52" s="1">
        <v>2</v>
      </c>
      <c r="BA52" s="1">
        <v>3</v>
      </c>
      <c r="BB52" s="1">
        <v>4</v>
      </c>
      <c r="BC52" s="1">
        <v>2</v>
      </c>
      <c r="BD52" s="1">
        <v>3</v>
      </c>
      <c r="BE52" s="1">
        <v>2</v>
      </c>
      <c r="BF52" s="1">
        <v>3</v>
      </c>
      <c r="BG52" s="1">
        <v>4</v>
      </c>
      <c r="BH52" s="1">
        <v>2</v>
      </c>
      <c r="BI52" s="1">
        <v>3</v>
      </c>
      <c r="BJ52" s="1">
        <v>3</v>
      </c>
      <c r="BK52" s="1" t="s">
        <v>665</v>
      </c>
      <c r="BL52" s="1">
        <v>2</v>
      </c>
    </row>
    <row r="53" spans="1:64" x14ac:dyDescent="0.35">
      <c r="A53" t="s">
        <v>326</v>
      </c>
      <c r="B53" t="s">
        <v>726</v>
      </c>
      <c r="C53" t="s">
        <v>327</v>
      </c>
      <c r="D53" t="s">
        <v>326</v>
      </c>
      <c r="E53" t="s">
        <v>727</v>
      </c>
      <c r="F53" t="s">
        <v>542</v>
      </c>
      <c r="G53" t="s">
        <v>326</v>
      </c>
      <c r="H53" s="1">
        <v>3838</v>
      </c>
      <c r="I53" s="1" t="s">
        <v>665</v>
      </c>
      <c r="J53" s="1">
        <v>7401</v>
      </c>
      <c r="K53" s="1">
        <v>2759</v>
      </c>
      <c r="L53" s="1">
        <v>2318.8821153539193</v>
      </c>
      <c r="M53" s="1">
        <v>3316.4833333333331</v>
      </c>
      <c r="N53" s="1">
        <v>1542</v>
      </c>
      <c r="O53" s="1">
        <v>5511.3766602863361</v>
      </c>
      <c r="P53" s="1">
        <v>2752</v>
      </c>
      <c r="Q53" s="1">
        <v>3838</v>
      </c>
      <c r="R53" s="1">
        <v>6027.0814814814812</v>
      </c>
      <c r="S53" s="1">
        <v>2413.1999999999998</v>
      </c>
      <c r="T53" s="1">
        <v>3105</v>
      </c>
      <c r="U53" s="1">
        <v>6874</v>
      </c>
      <c r="V53" s="3">
        <f>_xlfn.XLOOKUP(Table2[[#This Row],[admin3Pcode]],'Inter-sector dataset'!F:F,'Inter-sector dataset'!Q:Q)</f>
        <v>0</v>
      </c>
      <c r="W53" s="3">
        <f>_xlfn.XLOOKUP(Table2[[#This Row],[admin3Pcode]],'Inter-sector dataset'!F:F,'Inter-sector dataset'!R:R)</f>
        <v>0</v>
      </c>
      <c r="X53" s="1">
        <f>IFERROR(Table2[[#This Row],[Health_PIN]]*$V53,)</f>
        <v>0</v>
      </c>
      <c r="Y53" s="1">
        <f>IFERROR(Table2[[#This Row],[CCCM_PIN]]*$V53,)</f>
        <v>0</v>
      </c>
      <c r="Z53" s="1">
        <f>IFERROR(Table2[[#This Row],[ERL_PIN]]*$V53,)</f>
        <v>0</v>
      </c>
      <c r="AA53" s="1">
        <f>IFERROR(Table2[[#This Row],[NFI_PIN]]*$V53,)</f>
        <v>0</v>
      </c>
      <c r="AB53" s="1">
        <f>IFERROR(Table2[[#This Row],[Nutrition_PIN]]*$V53,)</f>
        <v>0</v>
      </c>
      <c r="AC53" s="1">
        <f>IFERROR(Table2[[#This Row],[Education_PIN]]*$V53,)</f>
        <v>0</v>
      </c>
      <c r="AD53" s="1">
        <f>IFERROR(Table2[[#This Row],[Shelter_PIN]]*$V53,)</f>
        <v>0</v>
      </c>
      <c r="AE53" s="1">
        <f>IFERROR(Table2[[#This Row],[WASH_PIN]]*$V53,)</f>
        <v>0</v>
      </c>
      <c r="AF53" s="1">
        <f>IFERROR(Table2[[#This Row],[WASH_acute_PIN]]*$V53,)</f>
        <v>0</v>
      </c>
      <c r="AG53" s="1">
        <f>IFERROR(Table2[[#This Row],[Protection_PIN]]*$V53,)</f>
        <v>0</v>
      </c>
      <c r="AH53" s="1">
        <f>IFERROR(Table2[[#This Row],[Food_PIN]]*$V53,)</f>
        <v>0</v>
      </c>
      <c r="AI53" s="1">
        <f>IFERROR(Table2[[#This Row],[Protection_CP_PIN]]*$V53,)</f>
        <v>0</v>
      </c>
      <c r="AJ53" s="1">
        <f>IFERROR(Table2[[#This Row],[Protection_GBV_PIN]]*$V53,)</f>
        <v>0</v>
      </c>
      <c r="AK53" s="1">
        <f>IFERROR(Table2[[#This Row],[Protection_MA_PIN]]*$V53,)</f>
        <v>0</v>
      </c>
      <c r="AL53" s="1">
        <f>IFERROR(Table2[[#This Row],[Health_PIN]]*$W53,)</f>
        <v>0</v>
      </c>
      <c r="AM53" s="1">
        <f>IFERROR(Table2[[#This Row],[CCCM_PIN]]*$W53,)</f>
        <v>0</v>
      </c>
      <c r="AN53" s="1">
        <f>IFERROR(Table2[[#This Row],[ERL_PIN]]*$W53,)</f>
        <v>0</v>
      </c>
      <c r="AO53" s="1">
        <f>IFERROR(Table2[[#This Row],[NFI_PIN]]*$W53,)</f>
        <v>0</v>
      </c>
      <c r="AP53" s="1">
        <f>IFERROR(Table2[[#This Row],[Nutrition_PIN]]*$W53,)</f>
        <v>0</v>
      </c>
      <c r="AQ53" s="1">
        <f>IFERROR(Table2[[#This Row],[Education_PIN]]*$W53,)</f>
        <v>0</v>
      </c>
      <c r="AR53" s="1">
        <f>IFERROR(Table2[[#This Row],[Shelter_PIN]]*$W53,)</f>
        <v>0</v>
      </c>
      <c r="AS53" s="1">
        <f>IFERROR(Table2[[#This Row],[WASH_PIN]]*$W53,)</f>
        <v>0</v>
      </c>
      <c r="AT53" s="1">
        <f>IFERROR(Table2[[#This Row],[WASH_acute_PIN]]*$W53,)</f>
        <v>0</v>
      </c>
      <c r="AU53" s="1">
        <f>IFERROR(Table2[[#This Row],[Protection_PIN]]*$W53,)</f>
        <v>0</v>
      </c>
      <c r="AV53" s="1">
        <f>IFERROR(Table2[[#This Row],[Food_PIN]]*$W53,)</f>
        <v>0</v>
      </c>
      <c r="AW53" s="1">
        <f>IFERROR(Table2[[#This Row],[Protection_CP_PIN]]*$W53,)</f>
        <v>0</v>
      </c>
      <c r="AX53" s="1">
        <f>IFERROR(Table2[[#This Row],[Protection_GBV_PIN]]*$W53,)</f>
        <v>0</v>
      </c>
      <c r="AY53" s="1">
        <f>IFERROR(Table2[[#This Row],[Protection_MA_PIN]]*$W53,)</f>
        <v>0</v>
      </c>
      <c r="AZ53" s="1">
        <v>3</v>
      </c>
      <c r="BA53" s="1">
        <v>3</v>
      </c>
      <c r="BB53" s="1">
        <v>4</v>
      </c>
      <c r="BC53" s="1">
        <v>4</v>
      </c>
      <c r="BD53" s="1">
        <v>3</v>
      </c>
      <c r="BE53" s="1">
        <v>3</v>
      </c>
      <c r="BF53" s="1">
        <v>3</v>
      </c>
      <c r="BG53" s="1">
        <v>4</v>
      </c>
      <c r="BH53" s="1">
        <v>4</v>
      </c>
      <c r="BI53" s="1">
        <v>3</v>
      </c>
      <c r="BJ53" s="1">
        <v>4</v>
      </c>
      <c r="BK53" s="1" t="s">
        <v>665</v>
      </c>
      <c r="BL53" s="1">
        <v>4</v>
      </c>
    </row>
    <row r="54" spans="1:64" x14ac:dyDescent="0.35">
      <c r="A54" t="s">
        <v>12</v>
      </c>
      <c r="B54" t="s">
        <v>673</v>
      </c>
      <c r="C54" t="s">
        <v>13</v>
      </c>
      <c r="D54" t="s">
        <v>569</v>
      </c>
      <c r="E54" t="s">
        <v>728</v>
      </c>
      <c r="F54" t="s">
        <v>570</v>
      </c>
      <c r="G54" t="s">
        <v>569</v>
      </c>
      <c r="H54" s="1">
        <v>0</v>
      </c>
      <c r="I54" s="1" t="s">
        <v>665</v>
      </c>
      <c r="J54" s="1">
        <v>5381</v>
      </c>
      <c r="K54" s="1">
        <v>1653</v>
      </c>
      <c r="L54" s="1">
        <v>1571.0998440602455</v>
      </c>
      <c r="M54" s="1">
        <v>611.69887034066164</v>
      </c>
      <c r="N54" s="1">
        <v>559</v>
      </c>
      <c r="O54" s="1">
        <v>3933.8147604856913</v>
      </c>
      <c r="P54" s="1">
        <v>55</v>
      </c>
      <c r="Q54" s="1">
        <v>4133</v>
      </c>
      <c r="R54" s="1">
        <v>1895.6422018348626</v>
      </c>
      <c r="S54" s="1">
        <v>1425.9</v>
      </c>
      <c r="T54" s="1">
        <v>1334</v>
      </c>
      <c r="U54" s="1">
        <v>214</v>
      </c>
      <c r="V54" s="3">
        <f>_xlfn.XLOOKUP(Table2[[#This Row],[admin3Pcode]],'Inter-sector dataset'!F:F,'Inter-sector dataset'!Q:Q)</f>
        <v>0</v>
      </c>
      <c r="W54" s="3">
        <f>_xlfn.XLOOKUP(Table2[[#This Row],[admin3Pcode]],'Inter-sector dataset'!F:F,'Inter-sector dataset'!R:R)</f>
        <v>0</v>
      </c>
      <c r="X54" s="1">
        <f>IFERROR(Table2[[#This Row],[Health_PIN]]*$V54,)</f>
        <v>0</v>
      </c>
      <c r="Y54" s="1">
        <f>IFERROR(Table2[[#This Row],[CCCM_PIN]]*$V54,)</f>
        <v>0</v>
      </c>
      <c r="Z54" s="1">
        <f>IFERROR(Table2[[#This Row],[ERL_PIN]]*$V54,)</f>
        <v>0</v>
      </c>
      <c r="AA54" s="1">
        <f>IFERROR(Table2[[#This Row],[NFI_PIN]]*$V54,)</f>
        <v>0</v>
      </c>
      <c r="AB54" s="1">
        <f>IFERROR(Table2[[#This Row],[Nutrition_PIN]]*$V54,)</f>
        <v>0</v>
      </c>
      <c r="AC54" s="1">
        <f>IFERROR(Table2[[#This Row],[Education_PIN]]*$V54,)</f>
        <v>0</v>
      </c>
      <c r="AD54" s="1">
        <f>IFERROR(Table2[[#This Row],[Shelter_PIN]]*$V54,)</f>
        <v>0</v>
      </c>
      <c r="AE54" s="1">
        <f>IFERROR(Table2[[#This Row],[WASH_PIN]]*$V54,)</f>
        <v>0</v>
      </c>
      <c r="AF54" s="1">
        <f>IFERROR(Table2[[#This Row],[WASH_acute_PIN]]*$V54,)</f>
        <v>0</v>
      </c>
      <c r="AG54" s="1">
        <f>IFERROR(Table2[[#This Row],[Protection_PIN]]*$V54,)</f>
        <v>0</v>
      </c>
      <c r="AH54" s="1">
        <f>IFERROR(Table2[[#This Row],[Food_PIN]]*$V54,)</f>
        <v>0</v>
      </c>
      <c r="AI54" s="1">
        <f>IFERROR(Table2[[#This Row],[Protection_CP_PIN]]*$V54,)</f>
        <v>0</v>
      </c>
      <c r="AJ54" s="1">
        <f>IFERROR(Table2[[#This Row],[Protection_GBV_PIN]]*$V54,)</f>
        <v>0</v>
      </c>
      <c r="AK54" s="1">
        <f>IFERROR(Table2[[#This Row],[Protection_MA_PIN]]*$V54,)</f>
        <v>0</v>
      </c>
      <c r="AL54" s="1">
        <f>IFERROR(Table2[[#This Row],[Health_PIN]]*$W54,)</f>
        <v>0</v>
      </c>
      <c r="AM54" s="1">
        <f>IFERROR(Table2[[#This Row],[CCCM_PIN]]*$W54,)</f>
        <v>0</v>
      </c>
      <c r="AN54" s="1">
        <f>IFERROR(Table2[[#This Row],[ERL_PIN]]*$W54,)</f>
        <v>0</v>
      </c>
      <c r="AO54" s="1">
        <f>IFERROR(Table2[[#This Row],[NFI_PIN]]*$W54,)</f>
        <v>0</v>
      </c>
      <c r="AP54" s="1">
        <f>IFERROR(Table2[[#This Row],[Nutrition_PIN]]*$W54,)</f>
        <v>0</v>
      </c>
      <c r="AQ54" s="1">
        <f>IFERROR(Table2[[#This Row],[Education_PIN]]*$W54,)</f>
        <v>0</v>
      </c>
      <c r="AR54" s="1">
        <f>IFERROR(Table2[[#This Row],[Shelter_PIN]]*$W54,)</f>
        <v>0</v>
      </c>
      <c r="AS54" s="1">
        <f>IFERROR(Table2[[#This Row],[WASH_PIN]]*$W54,)</f>
        <v>0</v>
      </c>
      <c r="AT54" s="1">
        <f>IFERROR(Table2[[#This Row],[WASH_acute_PIN]]*$W54,)</f>
        <v>0</v>
      </c>
      <c r="AU54" s="1">
        <f>IFERROR(Table2[[#This Row],[Protection_PIN]]*$W54,)</f>
        <v>0</v>
      </c>
      <c r="AV54" s="1">
        <f>IFERROR(Table2[[#This Row],[Food_PIN]]*$W54,)</f>
        <v>0</v>
      </c>
      <c r="AW54" s="1">
        <f>IFERROR(Table2[[#This Row],[Protection_CP_PIN]]*$W54,)</f>
        <v>0</v>
      </c>
      <c r="AX54" s="1">
        <f>IFERROR(Table2[[#This Row],[Protection_GBV_PIN]]*$W54,)</f>
        <v>0</v>
      </c>
      <c r="AY54" s="1">
        <f>IFERROR(Table2[[#This Row],[Protection_MA_PIN]]*$W54,)</f>
        <v>0</v>
      </c>
      <c r="AZ54" s="1">
        <v>2</v>
      </c>
      <c r="BA54" s="1">
        <v>3</v>
      </c>
      <c r="BB54" s="1">
        <v>4</v>
      </c>
      <c r="BC54" s="1">
        <v>2</v>
      </c>
      <c r="BD54" s="1">
        <v>3</v>
      </c>
      <c r="BE54" s="1">
        <v>2</v>
      </c>
      <c r="BF54" s="1">
        <v>3</v>
      </c>
      <c r="BG54" s="1">
        <v>4</v>
      </c>
      <c r="BH54" s="1">
        <v>2</v>
      </c>
      <c r="BI54" s="1">
        <v>3</v>
      </c>
      <c r="BJ54" s="1">
        <v>3</v>
      </c>
      <c r="BK54" s="1" t="s">
        <v>665</v>
      </c>
      <c r="BL54" s="1">
        <v>3</v>
      </c>
    </row>
    <row r="55" spans="1:64" x14ac:dyDescent="0.35">
      <c r="A55" t="s">
        <v>168</v>
      </c>
      <c r="B55" t="s">
        <v>681</v>
      </c>
      <c r="C55" t="s">
        <v>169</v>
      </c>
      <c r="D55" t="s">
        <v>557</v>
      </c>
      <c r="E55" t="s">
        <v>729</v>
      </c>
      <c r="F55" t="s">
        <v>558</v>
      </c>
      <c r="G55" t="s">
        <v>557</v>
      </c>
      <c r="H55" s="1">
        <v>0</v>
      </c>
      <c r="I55" s="1" t="s">
        <v>665</v>
      </c>
      <c r="J55" s="1">
        <v>7239</v>
      </c>
      <c r="K55" s="1">
        <v>0</v>
      </c>
      <c r="L55" s="1">
        <v>2339.8552116816359</v>
      </c>
      <c r="M55" s="1">
        <v>497.31773700305752</v>
      </c>
      <c r="N55" s="1">
        <v>439</v>
      </c>
      <c r="O55" s="1">
        <v>3018.4636179423405</v>
      </c>
      <c r="P55" s="1">
        <v>879</v>
      </c>
      <c r="Q55" s="1">
        <v>4180</v>
      </c>
      <c r="R55" s="1">
        <v>7174.8083333333325</v>
      </c>
      <c r="S55" s="1">
        <v>1272</v>
      </c>
      <c r="T55" s="1">
        <v>3731</v>
      </c>
      <c r="U55" s="1">
        <v>7100</v>
      </c>
      <c r="V55" s="3">
        <f>_xlfn.XLOOKUP(Table2[[#This Row],[admin3Pcode]],'Inter-sector dataset'!F:F,'Inter-sector dataset'!Q:Q)</f>
        <v>0</v>
      </c>
      <c r="W55" s="3">
        <f>_xlfn.XLOOKUP(Table2[[#This Row],[admin3Pcode]],'Inter-sector dataset'!F:F,'Inter-sector dataset'!R:R)</f>
        <v>0</v>
      </c>
      <c r="X55" s="1">
        <f>IFERROR(Table2[[#This Row],[Health_PIN]]*$V55,)</f>
        <v>0</v>
      </c>
      <c r="Y55" s="1">
        <f>IFERROR(Table2[[#This Row],[CCCM_PIN]]*$V55,)</f>
        <v>0</v>
      </c>
      <c r="Z55" s="1">
        <f>IFERROR(Table2[[#This Row],[ERL_PIN]]*$V55,)</f>
        <v>0</v>
      </c>
      <c r="AA55" s="1">
        <f>IFERROR(Table2[[#This Row],[NFI_PIN]]*$V55,)</f>
        <v>0</v>
      </c>
      <c r="AB55" s="1">
        <f>IFERROR(Table2[[#This Row],[Nutrition_PIN]]*$V55,)</f>
        <v>0</v>
      </c>
      <c r="AC55" s="1">
        <f>IFERROR(Table2[[#This Row],[Education_PIN]]*$V55,)</f>
        <v>0</v>
      </c>
      <c r="AD55" s="1">
        <f>IFERROR(Table2[[#This Row],[Shelter_PIN]]*$V55,)</f>
        <v>0</v>
      </c>
      <c r="AE55" s="1">
        <f>IFERROR(Table2[[#This Row],[WASH_PIN]]*$V55,)</f>
        <v>0</v>
      </c>
      <c r="AF55" s="1">
        <f>IFERROR(Table2[[#This Row],[WASH_acute_PIN]]*$V55,)</f>
        <v>0</v>
      </c>
      <c r="AG55" s="1">
        <f>IFERROR(Table2[[#This Row],[Protection_PIN]]*$V55,)</f>
        <v>0</v>
      </c>
      <c r="AH55" s="1">
        <f>IFERROR(Table2[[#This Row],[Food_PIN]]*$V55,)</f>
        <v>0</v>
      </c>
      <c r="AI55" s="1">
        <f>IFERROR(Table2[[#This Row],[Protection_CP_PIN]]*$V55,)</f>
        <v>0</v>
      </c>
      <c r="AJ55" s="1">
        <f>IFERROR(Table2[[#This Row],[Protection_GBV_PIN]]*$V55,)</f>
        <v>0</v>
      </c>
      <c r="AK55" s="1">
        <f>IFERROR(Table2[[#This Row],[Protection_MA_PIN]]*$V55,)</f>
        <v>0</v>
      </c>
      <c r="AL55" s="1">
        <f>IFERROR(Table2[[#This Row],[Health_PIN]]*$W55,)</f>
        <v>0</v>
      </c>
      <c r="AM55" s="1">
        <f>IFERROR(Table2[[#This Row],[CCCM_PIN]]*$W55,)</f>
        <v>0</v>
      </c>
      <c r="AN55" s="1">
        <f>IFERROR(Table2[[#This Row],[ERL_PIN]]*$W55,)</f>
        <v>0</v>
      </c>
      <c r="AO55" s="1">
        <f>IFERROR(Table2[[#This Row],[NFI_PIN]]*$W55,)</f>
        <v>0</v>
      </c>
      <c r="AP55" s="1">
        <f>IFERROR(Table2[[#This Row],[Nutrition_PIN]]*$W55,)</f>
        <v>0</v>
      </c>
      <c r="AQ55" s="1">
        <f>IFERROR(Table2[[#This Row],[Education_PIN]]*$W55,)</f>
        <v>0</v>
      </c>
      <c r="AR55" s="1">
        <f>IFERROR(Table2[[#This Row],[Shelter_PIN]]*$W55,)</f>
        <v>0</v>
      </c>
      <c r="AS55" s="1">
        <f>IFERROR(Table2[[#This Row],[WASH_PIN]]*$W55,)</f>
        <v>0</v>
      </c>
      <c r="AT55" s="1">
        <f>IFERROR(Table2[[#This Row],[WASH_acute_PIN]]*$W55,)</f>
        <v>0</v>
      </c>
      <c r="AU55" s="1">
        <f>IFERROR(Table2[[#This Row],[Protection_PIN]]*$W55,)</f>
        <v>0</v>
      </c>
      <c r="AV55" s="1">
        <f>IFERROR(Table2[[#This Row],[Food_PIN]]*$W55,)</f>
        <v>0</v>
      </c>
      <c r="AW55" s="1">
        <f>IFERROR(Table2[[#This Row],[Protection_CP_PIN]]*$W55,)</f>
        <v>0</v>
      </c>
      <c r="AX55" s="1">
        <f>IFERROR(Table2[[#This Row],[Protection_GBV_PIN]]*$W55,)</f>
        <v>0</v>
      </c>
      <c r="AY55" s="1">
        <f>IFERROR(Table2[[#This Row],[Protection_MA_PIN]]*$W55,)</f>
        <v>0</v>
      </c>
      <c r="AZ55" s="1">
        <v>2</v>
      </c>
      <c r="BA55" s="1">
        <v>3</v>
      </c>
      <c r="BB55" s="1">
        <v>4</v>
      </c>
      <c r="BC55" s="1">
        <v>1</v>
      </c>
      <c r="BD55" s="1">
        <v>3</v>
      </c>
      <c r="BE55" s="1">
        <v>2</v>
      </c>
      <c r="BF55" s="1">
        <v>3</v>
      </c>
      <c r="BG55" s="1">
        <v>3</v>
      </c>
      <c r="BH55" s="1">
        <v>4</v>
      </c>
      <c r="BI55" s="1">
        <v>3</v>
      </c>
      <c r="BJ55" s="1">
        <v>4</v>
      </c>
      <c r="BK55" s="1" t="s">
        <v>665</v>
      </c>
      <c r="BL55" s="1">
        <v>3</v>
      </c>
    </row>
    <row r="56" spans="1:64" x14ac:dyDescent="0.35">
      <c r="A56" t="s">
        <v>184</v>
      </c>
      <c r="B56" t="s">
        <v>730</v>
      </c>
      <c r="C56" t="s">
        <v>185</v>
      </c>
      <c r="D56" t="s">
        <v>526</v>
      </c>
      <c r="E56" t="s">
        <v>731</v>
      </c>
      <c r="F56" t="s">
        <v>527</v>
      </c>
      <c r="G56" t="s">
        <v>732</v>
      </c>
      <c r="H56" s="1">
        <v>6687</v>
      </c>
      <c r="I56" s="1" t="s">
        <v>665</v>
      </c>
      <c r="J56" s="1">
        <v>4940</v>
      </c>
      <c r="K56" s="1">
        <v>124</v>
      </c>
      <c r="L56" s="1">
        <v>2385.0203833253408</v>
      </c>
      <c r="M56" s="1">
        <v>4546.666666666667</v>
      </c>
      <c r="N56" s="1">
        <v>1843</v>
      </c>
      <c r="O56" s="1">
        <v>8915.9999999999982</v>
      </c>
      <c r="P56" s="1">
        <v>6388</v>
      </c>
      <c r="Q56" s="1">
        <v>4458</v>
      </c>
      <c r="R56" s="1">
        <v>8140.6956521739139</v>
      </c>
      <c r="S56" s="1">
        <v>1449.6000000000001</v>
      </c>
      <c r="T56" s="1">
        <v>4888</v>
      </c>
      <c r="U56" s="1">
        <v>4825</v>
      </c>
      <c r="V56" s="3">
        <f>_xlfn.XLOOKUP(Table2[[#This Row],[admin3Pcode]],'Inter-sector dataset'!F:F,'Inter-sector dataset'!Q:Q)</f>
        <v>0</v>
      </c>
      <c r="W56" s="3">
        <f>_xlfn.XLOOKUP(Table2[[#This Row],[admin3Pcode]],'Inter-sector dataset'!F:F,'Inter-sector dataset'!R:R)</f>
        <v>0</v>
      </c>
      <c r="X56" s="1">
        <f>IFERROR(Table2[[#This Row],[Health_PIN]]*$V56,)</f>
        <v>0</v>
      </c>
      <c r="Y56" s="1">
        <f>IFERROR(Table2[[#This Row],[CCCM_PIN]]*$V56,)</f>
        <v>0</v>
      </c>
      <c r="Z56" s="1">
        <f>IFERROR(Table2[[#This Row],[ERL_PIN]]*$V56,)</f>
        <v>0</v>
      </c>
      <c r="AA56" s="1">
        <f>IFERROR(Table2[[#This Row],[NFI_PIN]]*$V56,)</f>
        <v>0</v>
      </c>
      <c r="AB56" s="1">
        <f>IFERROR(Table2[[#This Row],[Nutrition_PIN]]*$V56,)</f>
        <v>0</v>
      </c>
      <c r="AC56" s="1">
        <f>IFERROR(Table2[[#This Row],[Education_PIN]]*$V56,)</f>
        <v>0</v>
      </c>
      <c r="AD56" s="1">
        <f>IFERROR(Table2[[#This Row],[Shelter_PIN]]*$V56,)</f>
        <v>0</v>
      </c>
      <c r="AE56" s="1">
        <f>IFERROR(Table2[[#This Row],[WASH_PIN]]*$V56,)</f>
        <v>0</v>
      </c>
      <c r="AF56" s="1">
        <f>IFERROR(Table2[[#This Row],[WASH_acute_PIN]]*$V56,)</f>
        <v>0</v>
      </c>
      <c r="AG56" s="1">
        <f>IFERROR(Table2[[#This Row],[Protection_PIN]]*$V56,)</f>
        <v>0</v>
      </c>
      <c r="AH56" s="1">
        <f>IFERROR(Table2[[#This Row],[Food_PIN]]*$V56,)</f>
        <v>0</v>
      </c>
      <c r="AI56" s="1">
        <f>IFERROR(Table2[[#This Row],[Protection_CP_PIN]]*$V56,)</f>
        <v>0</v>
      </c>
      <c r="AJ56" s="1">
        <f>IFERROR(Table2[[#This Row],[Protection_GBV_PIN]]*$V56,)</f>
        <v>0</v>
      </c>
      <c r="AK56" s="1">
        <f>IFERROR(Table2[[#This Row],[Protection_MA_PIN]]*$V56,)</f>
        <v>0</v>
      </c>
      <c r="AL56" s="1">
        <f>IFERROR(Table2[[#This Row],[Health_PIN]]*$W56,)</f>
        <v>0</v>
      </c>
      <c r="AM56" s="1">
        <f>IFERROR(Table2[[#This Row],[CCCM_PIN]]*$W56,)</f>
        <v>0</v>
      </c>
      <c r="AN56" s="1">
        <f>IFERROR(Table2[[#This Row],[ERL_PIN]]*$W56,)</f>
        <v>0</v>
      </c>
      <c r="AO56" s="1">
        <f>IFERROR(Table2[[#This Row],[NFI_PIN]]*$W56,)</f>
        <v>0</v>
      </c>
      <c r="AP56" s="1">
        <f>IFERROR(Table2[[#This Row],[Nutrition_PIN]]*$W56,)</f>
        <v>0</v>
      </c>
      <c r="AQ56" s="1">
        <f>IFERROR(Table2[[#This Row],[Education_PIN]]*$W56,)</f>
        <v>0</v>
      </c>
      <c r="AR56" s="1">
        <f>IFERROR(Table2[[#This Row],[Shelter_PIN]]*$W56,)</f>
        <v>0</v>
      </c>
      <c r="AS56" s="1">
        <f>IFERROR(Table2[[#This Row],[WASH_PIN]]*$W56,)</f>
        <v>0</v>
      </c>
      <c r="AT56" s="1">
        <f>IFERROR(Table2[[#This Row],[WASH_acute_PIN]]*$W56,)</f>
        <v>0</v>
      </c>
      <c r="AU56" s="1">
        <f>IFERROR(Table2[[#This Row],[Protection_PIN]]*$W56,)</f>
        <v>0</v>
      </c>
      <c r="AV56" s="1">
        <f>IFERROR(Table2[[#This Row],[Food_PIN]]*$W56,)</f>
        <v>0</v>
      </c>
      <c r="AW56" s="1">
        <f>IFERROR(Table2[[#This Row],[Protection_CP_PIN]]*$W56,)</f>
        <v>0</v>
      </c>
      <c r="AX56" s="1">
        <f>IFERROR(Table2[[#This Row],[Protection_GBV_PIN]]*$W56,)</f>
        <v>0</v>
      </c>
      <c r="AY56" s="1">
        <f>IFERROR(Table2[[#This Row],[Protection_MA_PIN]]*$W56,)</f>
        <v>0</v>
      </c>
      <c r="AZ56" s="1">
        <v>3</v>
      </c>
      <c r="BA56" s="1">
        <v>3</v>
      </c>
      <c r="BB56" s="1">
        <v>4</v>
      </c>
      <c r="BC56" s="1">
        <v>3</v>
      </c>
      <c r="BD56" s="1">
        <v>3</v>
      </c>
      <c r="BE56" s="1">
        <v>4</v>
      </c>
      <c r="BF56" s="1">
        <v>3</v>
      </c>
      <c r="BG56" s="1">
        <v>3</v>
      </c>
      <c r="BH56" s="1">
        <v>5</v>
      </c>
      <c r="BI56" s="1">
        <v>3</v>
      </c>
      <c r="BJ56" s="1">
        <v>4</v>
      </c>
      <c r="BK56" s="1" t="s">
        <v>665</v>
      </c>
      <c r="BL56" s="1">
        <v>4</v>
      </c>
    </row>
    <row r="57" spans="1:64" x14ac:dyDescent="0.35">
      <c r="A57" t="s">
        <v>6</v>
      </c>
      <c r="B57" t="s">
        <v>667</v>
      </c>
      <c r="C57" t="s">
        <v>7</v>
      </c>
      <c r="D57" t="s">
        <v>530</v>
      </c>
      <c r="E57" t="s">
        <v>733</v>
      </c>
      <c r="F57" t="s">
        <v>531</v>
      </c>
      <c r="G57" t="s">
        <v>530</v>
      </c>
      <c r="H57" s="1">
        <v>0</v>
      </c>
      <c r="I57" s="1" t="s">
        <v>665</v>
      </c>
      <c r="J57" s="1">
        <v>7978</v>
      </c>
      <c r="K57" s="1">
        <v>1766</v>
      </c>
      <c r="L57" s="1">
        <v>1905.0580832078454</v>
      </c>
      <c r="M57" s="1">
        <v>2350.8333333333335</v>
      </c>
      <c r="N57" s="1">
        <v>0</v>
      </c>
      <c r="O57" s="1">
        <v>3662.2737454892072</v>
      </c>
      <c r="P57" s="1">
        <v>0</v>
      </c>
      <c r="Q57" s="1">
        <v>4631</v>
      </c>
      <c r="R57" s="1">
        <v>7460.25</v>
      </c>
      <c r="S57" s="1">
        <v>1718.4</v>
      </c>
      <c r="T57" s="1">
        <v>1485</v>
      </c>
      <c r="U57" s="1" t="s">
        <v>665</v>
      </c>
      <c r="V57" s="3">
        <f>_xlfn.XLOOKUP(Table2[[#This Row],[admin3Pcode]],'Inter-sector dataset'!F:F,'Inter-sector dataset'!Q:Q)</f>
        <v>0</v>
      </c>
      <c r="W57" s="3">
        <f>_xlfn.XLOOKUP(Table2[[#This Row],[admin3Pcode]],'Inter-sector dataset'!F:F,'Inter-sector dataset'!R:R)</f>
        <v>0</v>
      </c>
      <c r="X57" s="1">
        <f>IFERROR(Table2[[#This Row],[Health_PIN]]*$V57,)</f>
        <v>0</v>
      </c>
      <c r="Y57" s="1">
        <f>IFERROR(Table2[[#This Row],[CCCM_PIN]]*$V57,)</f>
        <v>0</v>
      </c>
      <c r="Z57" s="1">
        <f>IFERROR(Table2[[#This Row],[ERL_PIN]]*$V57,)</f>
        <v>0</v>
      </c>
      <c r="AA57" s="1">
        <f>IFERROR(Table2[[#This Row],[NFI_PIN]]*$V57,)</f>
        <v>0</v>
      </c>
      <c r="AB57" s="1">
        <f>IFERROR(Table2[[#This Row],[Nutrition_PIN]]*$V57,)</f>
        <v>0</v>
      </c>
      <c r="AC57" s="1">
        <f>IFERROR(Table2[[#This Row],[Education_PIN]]*$V57,)</f>
        <v>0</v>
      </c>
      <c r="AD57" s="1">
        <f>IFERROR(Table2[[#This Row],[Shelter_PIN]]*$V57,)</f>
        <v>0</v>
      </c>
      <c r="AE57" s="1">
        <f>IFERROR(Table2[[#This Row],[WASH_PIN]]*$V57,)</f>
        <v>0</v>
      </c>
      <c r="AF57" s="1">
        <f>IFERROR(Table2[[#This Row],[WASH_acute_PIN]]*$V57,)</f>
        <v>0</v>
      </c>
      <c r="AG57" s="1">
        <f>IFERROR(Table2[[#This Row],[Protection_PIN]]*$V57,)</f>
        <v>0</v>
      </c>
      <c r="AH57" s="1">
        <f>IFERROR(Table2[[#This Row],[Food_PIN]]*$V57,)</f>
        <v>0</v>
      </c>
      <c r="AI57" s="1">
        <f>IFERROR(Table2[[#This Row],[Protection_CP_PIN]]*$V57,)</f>
        <v>0</v>
      </c>
      <c r="AJ57" s="1">
        <f>IFERROR(Table2[[#This Row],[Protection_GBV_PIN]]*$V57,)</f>
        <v>0</v>
      </c>
      <c r="AK57" s="1">
        <f>IFERROR(Table2[[#This Row],[Protection_MA_PIN]]*$V57,)</f>
        <v>0</v>
      </c>
      <c r="AL57" s="1">
        <f>IFERROR(Table2[[#This Row],[Health_PIN]]*$W57,)</f>
        <v>0</v>
      </c>
      <c r="AM57" s="1">
        <f>IFERROR(Table2[[#This Row],[CCCM_PIN]]*$W57,)</f>
        <v>0</v>
      </c>
      <c r="AN57" s="1">
        <f>IFERROR(Table2[[#This Row],[ERL_PIN]]*$W57,)</f>
        <v>0</v>
      </c>
      <c r="AO57" s="1">
        <f>IFERROR(Table2[[#This Row],[NFI_PIN]]*$W57,)</f>
        <v>0</v>
      </c>
      <c r="AP57" s="1">
        <f>IFERROR(Table2[[#This Row],[Nutrition_PIN]]*$W57,)</f>
        <v>0</v>
      </c>
      <c r="AQ57" s="1">
        <f>IFERROR(Table2[[#This Row],[Education_PIN]]*$W57,)</f>
        <v>0</v>
      </c>
      <c r="AR57" s="1">
        <f>IFERROR(Table2[[#This Row],[Shelter_PIN]]*$W57,)</f>
        <v>0</v>
      </c>
      <c r="AS57" s="1">
        <f>IFERROR(Table2[[#This Row],[WASH_PIN]]*$W57,)</f>
        <v>0</v>
      </c>
      <c r="AT57" s="1">
        <f>IFERROR(Table2[[#This Row],[WASH_acute_PIN]]*$W57,)</f>
        <v>0</v>
      </c>
      <c r="AU57" s="1">
        <f>IFERROR(Table2[[#This Row],[Protection_PIN]]*$W57,)</f>
        <v>0</v>
      </c>
      <c r="AV57" s="1">
        <f>IFERROR(Table2[[#This Row],[Food_PIN]]*$W57,)</f>
        <v>0</v>
      </c>
      <c r="AW57" s="1">
        <f>IFERROR(Table2[[#This Row],[Protection_CP_PIN]]*$W57,)</f>
        <v>0</v>
      </c>
      <c r="AX57" s="1">
        <f>IFERROR(Table2[[#This Row],[Protection_GBV_PIN]]*$W57,)</f>
        <v>0</v>
      </c>
      <c r="AY57" s="1">
        <f>IFERROR(Table2[[#This Row],[Protection_MA_PIN]]*$W57,)</f>
        <v>0</v>
      </c>
      <c r="AZ57" s="1">
        <v>1</v>
      </c>
      <c r="BA57" s="1">
        <v>3</v>
      </c>
      <c r="BB57" s="1">
        <v>4</v>
      </c>
      <c r="BC57" s="1">
        <v>2</v>
      </c>
      <c r="BD57" s="1">
        <v>3</v>
      </c>
      <c r="BE57" s="1">
        <v>2</v>
      </c>
      <c r="BF57" s="1">
        <v>3</v>
      </c>
      <c r="BG57" s="1">
        <v>4</v>
      </c>
      <c r="BH57" s="1">
        <v>2</v>
      </c>
      <c r="BI57" s="1">
        <v>3</v>
      </c>
      <c r="BJ57" s="1">
        <v>3</v>
      </c>
      <c r="BK57" s="1" t="s">
        <v>665</v>
      </c>
      <c r="BL57" s="1">
        <v>3</v>
      </c>
    </row>
    <row r="58" spans="1:64" x14ac:dyDescent="0.35">
      <c r="A58" t="s">
        <v>6</v>
      </c>
      <c r="B58" t="s">
        <v>667</v>
      </c>
      <c r="C58" t="s">
        <v>7</v>
      </c>
      <c r="D58" t="s">
        <v>532</v>
      </c>
      <c r="E58" t="s">
        <v>734</v>
      </c>
      <c r="F58" t="s">
        <v>533</v>
      </c>
      <c r="G58" t="s">
        <v>532</v>
      </c>
      <c r="H58" s="1">
        <v>0</v>
      </c>
      <c r="I58" s="1" t="s">
        <v>665</v>
      </c>
      <c r="J58" s="1">
        <v>9256</v>
      </c>
      <c r="K58" s="1">
        <v>0</v>
      </c>
      <c r="L58" s="1">
        <v>2104.1545375268006</v>
      </c>
      <c r="M58" s="1">
        <v>3017.3333333333335</v>
      </c>
      <c r="N58" s="1">
        <v>0</v>
      </c>
      <c r="O58" s="1">
        <v>2388.2805173419601</v>
      </c>
      <c r="P58" s="1">
        <v>0</v>
      </c>
      <c r="Q58" s="1">
        <v>4722</v>
      </c>
      <c r="R58" s="1">
        <v>3235.1018518518517</v>
      </c>
      <c r="S58" s="1">
        <v>1591.2000000000003</v>
      </c>
      <c r="T58" s="1">
        <v>1481</v>
      </c>
      <c r="U58" s="1" t="s">
        <v>665</v>
      </c>
      <c r="V58" s="3">
        <f>_xlfn.XLOOKUP(Table2[[#This Row],[admin3Pcode]],'Inter-sector dataset'!F:F,'Inter-sector dataset'!Q:Q)</f>
        <v>0</v>
      </c>
      <c r="W58" s="3">
        <f>_xlfn.XLOOKUP(Table2[[#This Row],[admin3Pcode]],'Inter-sector dataset'!F:F,'Inter-sector dataset'!R:R)</f>
        <v>0</v>
      </c>
      <c r="X58" s="1">
        <f>IFERROR(Table2[[#This Row],[Health_PIN]]*$V58,)</f>
        <v>0</v>
      </c>
      <c r="Y58" s="1">
        <f>IFERROR(Table2[[#This Row],[CCCM_PIN]]*$V58,)</f>
        <v>0</v>
      </c>
      <c r="Z58" s="1">
        <f>IFERROR(Table2[[#This Row],[ERL_PIN]]*$V58,)</f>
        <v>0</v>
      </c>
      <c r="AA58" s="1">
        <f>IFERROR(Table2[[#This Row],[NFI_PIN]]*$V58,)</f>
        <v>0</v>
      </c>
      <c r="AB58" s="1">
        <f>IFERROR(Table2[[#This Row],[Nutrition_PIN]]*$V58,)</f>
        <v>0</v>
      </c>
      <c r="AC58" s="1">
        <f>IFERROR(Table2[[#This Row],[Education_PIN]]*$V58,)</f>
        <v>0</v>
      </c>
      <c r="AD58" s="1">
        <f>IFERROR(Table2[[#This Row],[Shelter_PIN]]*$V58,)</f>
        <v>0</v>
      </c>
      <c r="AE58" s="1">
        <f>IFERROR(Table2[[#This Row],[WASH_PIN]]*$V58,)</f>
        <v>0</v>
      </c>
      <c r="AF58" s="1">
        <f>IFERROR(Table2[[#This Row],[WASH_acute_PIN]]*$V58,)</f>
        <v>0</v>
      </c>
      <c r="AG58" s="1">
        <f>IFERROR(Table2[[#This Row],[Protection_PIN]]*$V58,)</f>
        <v>0</v>
      </c>
      <c r="AH58" s="1">
        <f>IFERROR(Table2[[#This Row],[Food_PIN]]*$V58,)</f>
        <v>0</v>
      </c>
      <c r="AI58" s="1">
        <f>IFERROR(Table2[[#This Row],[Protection_CP_PIN]]*$V58,)</f>
        <v>0</v>
      </c>
      <c r="AJ58" s="1">
        <f>IFERROR(Table2[[#This Row],[Protection_GBV_PIN]]*$V58,)</f>
        <v>0</v>
      </c>
      <c r="AK58" s="1">
        <f>IFERROR(Table2[[#This Row],[Protection_MA_PIN]]*$V58,)</f>
        <v>0</v>
      </c>
      <c r="AL58" s="1">
        <f>IFERROR(Table2[[#This Row],[Health_PIN]]*$W58,)</f>
        <v>0</v>
      </c>
      <c r="AM58" s="1">
        <f>IFERROR(Table2[[#This Row],[CCCM_PIN]]*$W58,)</f>
        <v>0</v>
      </c>
      <c r="AN58" s="1">
        <f>IFERROR(Table2[[#This Row],[ERL_PIN]]*$W58,)</f>
        <v>0</v>
      </c>
      <c r="AO58" s="1">
        <f>IFERROR(Table2[[#This Row],[NFI_PIN]]*$W58,)</f>
        <v>0</v>
      </c>
      <c r="AP58" s="1">
        <f>IFERROR(Table2[[#This Row],[Nutrition_PIN]]*$W58,)</f>
        <v>0</v>
      </c>
      <c r="AQ58" s="1">
        <f>IFERROR(Table2[[#This Row],[Education_PIN]]*$W58,)</f>
        <v>0</v>
      </c>
      <c r="AR58" s="1">
        <f>IFERROR(Table2[[#This Row],[Shelter_PIN]]*$W58,)</f>
        <v>0</v>
      </c>
      <c r="AS58" s="1">
        <f>IFERROR(Table2[[#This Row],[WASH_PIN]]*$W58,)</f>
        <v>0</v>
      </c>
      <c r="AT58" s="1">
        <f>IFERROR(Table2[[#This Row],[WASH_acute_PIN]]*$W58,)</f>
        <v>0</v>
      </c>
      <c r="AU58" s="1">
        <f>IFERROR(Table2[[#This Row],[Protection_PIN]]*$W58,)</f>
        <v>0</v>
      </c>
      <c r="AV58" s="1">
        <f>IFERROR(Table2[[#This Row],[Food_PIN]]*$W58,)</f>
        <v>0</v>
      </c>
      <c r="AW58" s="1">
        <f>IFERROR(Table2[[#This Row],[Protection_CP_PIN]]*$W58,)</f>
        <v>0</v>
      </c>
      <c r="AX58" s="1">
        <f>IFERROR(Table2[[#This Row],[Protection_GBV_PIN]]*$W58,)</f>
        <v>0</v>
      </c>
      <c r="AY58" s="1">
        <f>IFERROR(Table2[[#This Row],[Protection_MA_PIN]]*$W58,)</f>
        <v>0</v>
      </c>
      <c r="AZ58" s="1">
        <v>1</v>
      </c>
      <c r="BA58" s="1">
        <v>3</v>
      </c>
      <c r="BB58" s="1">
        <v>4</v>
      </c>
      <c r="BC58" s="1">
        <v>1</v>
      </c>
      <c r="BD58" s="1">
        <v>3</v>
      </c>
      <c r="BE58" s="1">
        <v>2</v>
      </c>
      <c r="BF58" s="1">
        <v>3</v>
      </c>
      <c r="BG58" s="1">
        <v>3</v>
      </c>
      <c r="BH58" s="1">
        <v>2</v>
      </c>
      <c r="BI58" s="1">
        <v>3</v>
      </c>
      <c r="BJ58" s="1">
        <v>3</v>
      </c>
      <c r="BK58" s="1" t="s">
        <v>665</v>
      </c>
      <c r="BL58" s="1">
        <v>3</v>
      </c>
    </row>
    <row r="59" spans="1:64" x14ac:dyDescent="0.35">
      <c r="A59" t="s">
        <v>104</v>
      </c>
      <c r="B59" t="s">
        <v>677</v>
      </c>
      <c r="C59" t="s">
        <v>105</v>
      </c>
      <c r="D59" t="s">
        <v>545</v>
      </c>
      <c r="E59" t="s">
        <v>735</v>
      </c>
      <c r="F59" t="s">
        <v>546</v>
      </c>
      <c r="G59" t="s">
        <v>545</v>
      </c>
      <c r="H59" s="1">
        <v>7462.5</v>
      </c>
      <c r="I59" s="1" t="s">
        <v>665</v>
      </c>
      <c r="J59" s="1">
        <v>5826</v>
      </c>
      <c r="K59" s="1">
        <v>1990</v>
      </c>
      <c r="L59" s="1">
        <v>2690.9488222124101</v>
      </c>
      <c r="M59" s="1">
        <v>969.33147587053475</v>
      </c>
      <c r="N59" s="1">
        <v>1990</v>
      </c>
      <c r="O59" s="1">
        <v>3650.3331074587031</v>
      </c>
      <c r="P59" s="1">
        <v>659</v>
      </c>
      <c r="Q59" s="1">
        <v>4975</v>
      </c>
      <c r="R59" s="1">
        <v>6172.6851851851852</v>
      </c>
      <c r="S59" s="1">
        <v>1454.8000000000002</v>
      </c>
      <c r="T59" s="1">
        <v>4811</v>
      </c>
      <c r="U59" s="1">
        <v>9654</v>
      </c>
      <c r="V59" s="3">
        <f>_xlfn.XLOOKUP(Table2[[#This Row],[admin3Pcode]],'Inter-sector dataset'!F:F,'Inter-sector dataset'!Q:Q)</f>
        <v>0</v>
      </c>
      <c r="W59" s="3">
        <f>_xlfn.XLOOKUP(Table2[[#This Row],[admin3Pcode]],'Inter-sector dataset'!F:F,'Inter-sector dataset'!R:R)</f>
        <v>0</v>
      </c>
      <c r="X59" s="1">
        <f>IFERROR(Table2[[#This Row],[Health_PIN]]*$V59,)</f>
        <v>0</v>
      </c>
      <c r="Y59" s="1">
        <f>IFERROR(Table2[[#This Row],[CCCM_PIN]]*$V59,)</f>
        <v>0</v>
      </c>
      <c r="Z59" s="1">
        <f>IFERROR(Table2[[#This Row],[ERL_PIN]]*$V59,)</f>
        <v>0</v>
      </c>
      <c r="AA59" s="1">
        <f>IFERROR(Table2[[#This Row],[NFI_PIN]]*$V59,)</f>
        <v>0</v>
      </c>
      <c r="AB59" s="1">
        <f>IFERROR(Table2[[#This Row],[Nutrition_PIN]]*$V59,)</f>
        <v>0</v>
      </c>
      <c r="AC59" s="1">
        <f>IFERROR(Table2[[#This Row],[Education_PIN]]*$V59,)</f>
        <v>0</v>
      </c>
      <c r="AD59" s="1">
        <f>IFERROR(Table2[[#This Row],[Shelter_PIN]]*$V59,)</f>
        <v>0</v>
      </c>
      <c r="AE59" s="1">
        <f>IFERROR(Table2[[#This Row],[WASH_PIN]]*$V59,)</f>
        <v>0</v>
      </c>
      <c r="AF59" s="1">
        <f>IFERROR(Table2[[#This Row],[WASH_acute_PIN]]*$V59,)</f>
        <v>0</v>
      </c>
      <c r="AG59" s="1">
        <f>IFERROR(Table2[[#This Row],[Protection_PIN]]*$V59,)</f>
        <v>0</v>
      </c>
      <c r="AH59" s="1">
        <f>IFERROR(Table2[[#This Row],[Food_PIN]]*$V59,)</f>
        <v>0</v>
      </c>
      <c r="AI59" s="1">
        <f>IFERROR(Table2[[#This Row],[Protection_CP_PIN]]*$V59,)</f>
        <v>0</v>
      </c>
      <c r="AJ59" s="1">
        <f>IFERROR(Table2[[#This Row],[Protection_GBV_PIN]]*$V59,)</f>
        <v>0</v>
      </c>
      <c r="AK59" s="1">
        <f>IFERROR(Table2[[#This Row],[Protection_MA_PIN]]*$V59,)</f>
        <v>0</v>
      </c>
      <c r="AL59" s="1">
        <f>IFERROR(Table2[[#This Row],[Health_PIN]]*$W59,)</f>
        <v>0</v>
      </c>
      <c r="AM59" s="1">
        <f>IFERROR(Table2[[#This Row],[CCCM_PIN]]*$W59,)</f>
        <v>0</v>
      </c>
      <c r="AN59" s="1">
        <f>IFERROR(Table2[[#This Row],[ERL_PIN]]*$W59,)</f>
        <v>0</v>
      </c>
      <c r="AO59" s="1">
        <f>IFERROR(Table2[[#This Row],[NFI_PIN]]*$W59,)</f>
        <v>0</v>
      </c>
      <c r="AP59" s="1">
        <f>IFERROR(Table2[[#This Row],[Nutrition_PIN]]*$W59,)</f>
        <v>0</v>
      </c>
      <c r="AQ59" s="1">
        <f>IFERROR(Table2[[#This Row],[Education_PIN]]*$W59,)</f>
        <v>0</v>
      </c>
      <c r="AR59" s="1">
        <f>IFERROR(Table2[[#This Row],[Shelter_PIN]]*$W59,)</f>
        <v>0</v>
      </c>
      <c r="AS59" s="1">
        <f>IFERROR(Table2[[#This Row],[WASH_PIN]]*$W59,)</f>
        <v>0</v>
      </c>
      <c r="AT59" s="1">
        <f>IFERROR(Table2[[#This Row],[WASH_acute_PIN]]*$W59,)</f>
        <v>0</v>
      </c>
      <c r="AU59" s="1">
        <f>IFERROR(Table2[[#This Row],[Protection_PIN]]*$W59,)</f>
        <v>0</v>
      </c>
      <c r="AV59" s="1">
        <f>IFERROR(Table2[[#This Row],[Food_PIN]]*$W59,)</f>
        <v>0</v>
      </c>
      <c r="AW59" s="1">
        <f>IFERROR(Table2[[#This Row],[Protection_CP_PIN]]*$W59,)</f>
        <v>0</v>
      </c>
      <c r="AX59" s="1">
        <f>IFERROR(Table2[[#This Row],[Protection_GBV_PIN]]*$W59,)</f>
        <v>0</v>
      </c>
      <c r="AY59" s="1">
        <f>IFERROR(Table2[[#This Row],[Protection_MA_PIN]]*$W59,)</f>
        <v>0</v>
      </c>
      <c r="AZ59" s="1">
        <v>2</v>
      </c>
      <c r="BA59" s="1">
        <v>3</v>
      </c>
      <c r="BB59" s="1">
        <v>4</v>
      </c>
      <c r="BC59" s="1">
        <v>2</v>
      </c>
      <c r="BD59" s="1">
        <v>3</v>
      </c>
      <c r="BE59" s="1">
        <v>4</v>
      </c>
      <c r="BF59" s="1">
        <v>3</v>
      </c>
      <c r="BG59" s="1">
        <v>3</v>
      </c>
      <c r="BH59" s="1">
        <v>4</v>
      </c>
      <c r="BI59" s="1">
        <v>3</v>
      </c>
      <c r="BJ59" s="1">
        <v>3</v>
      </c>
      <c r="BK59" s="1" t="s">
        <v>665</v>
      </c>
      <c r="BL59" s="1">
        <v>3</v>
      </c>
    </row>
    <row r="60" spans="1:64" x14ac:dyDescent="0.35">
      <c r="A60" t="s">
        <v>205</v>
      </c>
      <c r="B60" t="s">
        <v>723</v>
      </c>
      <c r="C60" t="s">
        <v>206</v>
      </c>
      <c r="D60" t="s">
        <v>337</v>
      </c>
      <c r="E60" t="s">
        <v>736</v>
      </c>
      <c r="F60" t="s">
        <v>338</v>
      </c>
      <c r="G60" t="s">
        <v>337</v>
      </c>
      <c r="H60" s="1">
        <v>5628.5</v>
      </c>
      <c r="I60" s="1" t="s">
        <v>665</v>
      </c>
      <c r="J60" s="1">
        <v>10928</v>
      </c>
      <c r="K60" s="1">
        <v>2251</v>
      </c>
      <c r="L60" s="1">
        <v>2980.4235523524158</v>
      </c>
      <c r="M60" s="1">
        <v>4343.1000000000004</v>
      </c>
      <c r="N60" s="1">
        <v>1849</v>
      </c>
      <c r="O60" s="1">
        <v>11257</v>
      </c>
      <c r="P60" s="1">
        <v>9115</v>
      </c>
      <c r="Q60" s="1">
        <v>5629</v>
      </c>
      <c r="R60" s="1">
        <v>7009.0754716981128</v>
      </c>
      <c r="S60" s="1">
        <v>3278.1</v>
      </c>
      <c r="T60" s="1">
        <v>3244</v>
      </c>
      <c r="U60" s="1">
        <v>11095</v>
      </c>
      <c r="V60" s="3">
        <f>_xlfn.XLOOKUP(Table2[[#This Row],[admin3Pcode]],'Inter-sector dataset'!F:F,'Inter-sector dataset'!Q:Q)</f>
        <v>0</v>
      </c>
      <c r="W60" s="3">
        <f>_xlfn.XLOOKUP(Table2[[#This Row],[admin3Pcode]],'Inter-sector dataset'!F:F,'Inter-sector dataset'!R:R)</f>
        <v>0</v>
      </c>
      <c r="X60" s="1">
        <f>IFERROR(Table2[[#This Row],[Health_PIN]]*$V60,)</f>
        <v>0</v>
      </c>
      <c r="Y60" s="1">
        <f>IFERROR(Table2[[#This Row],[CCCM_PIN]]*$V60,)</f>
        <v>0</v>
      </c>
      <c r="Z60" s="1">
        <f>IFERROR(Table2[[#This Row],[ERL_PIN]]*$V60,)</f>
        <v>0</v>
      </c>
      <c r="AA60" s="1">
        <f>IFERROR(Table2[[#This Row],[NFI_PIN]]*$V60,)</f>
        <v>0</v>
      </c>
      <c r="AB60" s="1">
        <f>IFERROR(Table2[[#This Row],[Nutrition_PIN]]*$V60,)</f>
        <v>0</v>
      </c>
      <c r="AC60" s="1">
        <f>IFERROR(Table2[[#This Row],[Education_PIN]]*$V60,)</f>
        <v>0</v>
      </c>
      <c r="AD60" s="1">
        <f>IFERROR(Table2[[#This Row],[Shelter_PIN]]*$V60,)</f>
        <v>0</v>
      </c>
      <c r="AE60" s="1">
        <f>IFERROR(Table2[[#This Row],[WASH_PIN]]*$V60,)</f>
        <v>0</v>
      </c>
      <c r="AF60" s="1">
        <f>IFERROR(Table2[[#This Row],[WASH_acute_PIN]]*$V60,)</f>
        <v>0</v>
      </c>
      <c r="AG60" s="1">
        <f>IFERROR(Table2[[#This Row],[Protection_PIN]]*$V60,)</f>
        <v>0</v>
      </c>
      <c r="AH60" s="1">
        <f>IFERROR(Table2[[#This Row],[Food_PIN]]*$V60,)</f>
        <v>0</v>
      </c>
      <c r="AI60" s="1">
        <f>IFERROR(Table2[[#This Row],[Protection_CP_PIN]]*$V60,)</f>
        <v>0</v>
      </c>
      <c r="AJ60" s="1">
        <f>IFERROR(Table2[[#This Row],[Protection_GBV_PIN]]*$V60,)</f>
        <v>0</v>
      </c>
      <c r="AK60" s="1">
        <f>IFERROR(Table2[[#This Row],[Protection_MA_PIN]]*$V60,)</f>
        <v>0</v>
      </c>
      <c r="AL60" s="1">
        <f>IFERROR(Table2[[#This Row],[Health_PIN]]*$W60,)</f>
        <v>0</v>
      </c>
      <c r="AM60" s="1">
        <f>IFERROR(Table2[[#This Row],[CCCM_PIN]]*$W60,)</f>
        <v>0</v>
      </c>
      <c r="AN60" s="1">
        <f>IFERROR(Table2[[#This Row],[ERL_PIN]]*$W60,)</f>
        <v>0</v>
      </c>
      <c r="AO60" s="1">
        <f>IFERROR(Table2[[#This Row],[NFI_PIN]]*$W60,)</f>
        <v>0</v>
      </c>
      <c r="AP60" s="1">
        <f>IFERROR(Table2[[#This Row],[Nutrition_PIN]]*$W60,)</f>
        <v>0</v>
      </c>
      <c r="AQ60" s="1">
        <f>IFERROR(Table2[[#This Row],[Education_PIN]]*$W60,)</f>
        <v>0</v>
      </c>
      <c r="AR60" s="1">
        <f>IFERROR(Table2[[#This Row],[Shelter_PIN]]*$W60,)</f>
        <v>0</v>
      </c>
      <c r="AS60" s="1">
        <f>IFERROR(Table2[[#This Row],[WASH_PIN]]*$W60,)</f>
        <v>0</v>
      </c>
      <c r="AT60" s="1">
        <f>IFERROR(Table2[[#This Row],[WASH_acute_PIN]]*$W60,)</f>
        <v>0</v>
      </c>
      <c r="AU60" s="1">
        <f>IFERROR(Table2[[#This Row],[Protection_PIN]]*$W60,)</f>
        <v>0</v>
      </c>
      <c r="AV60" s="1">
        <f>IFERROR(Table2[[#This Row],[Food_PIN]]*$W60,)</f>
        <v>0</v>
      </c>
      <c r="AW60" s="1">
        <f>IFERROR(Table2[[#This Row],[Protection_CP_PIN]]*$W60,)</f>
        <v>0</v>
      </c>
      <c r="AX60" s="1">
        <f>IFERROR(Table2[[#This Row],[Protection_GBV_PIN]]*$W60,)</f>
        <v>0</v>
      </c>
      <c r="AY60" s="1">
        <f>IFERROR(Table2[[#This Row],[Protection_MA_PIN]]*$W60,)</f>
        <v>0</v>
      </c>
      <c r="AZ60" s="1">
        <v>2</v>
      </c>
      <c r="BA60" s="1">
        <v>3</v>
      </c>
      <c r="BB60" s="1">
        <v>3</v>
      </c>
      <c r="BC60" s="1">
        <v>2</v>
      </c>
      <c r="BD60" s="1">
        <v>3</v>
      </c>
      <c r="BE60" s="1">
        <v>3</v>
      </c>
      <c r="BF60" s="1">
        <v>3</v>
      </c>
      <c r="BG60" s="1">
        <v>4</v>
      </c>
      <c r="BH60" s="1">
        <v>3</v>
      </c>
      <c r="BI60" s="1">
        <v>3</v>
      </c>
      <c r="BJ60" s="1">
        <v>4</v>
      </c>
      <c r="BK60" s="1" t="s">
        <v>665</v>
      </c>
      <c r="BL60" s="1">
        <v>4</v>
      </c>
    </row>
    <row r="61" spans="1:64" x14ac:dyDescent="0.35">
      <c r="A61" t="s">
        <v>104</v>
      </c>
      <c r="B61" t="s">
        <v>677</v>
      </c>
      <c r="C61" t="s">
        <v>105</v>
      </c>
      <c r="D61" t="s">
        <v>528</v>
      </c>
      <c r="E61" t="s">
        <v>737</v>
      </c>
      <c r="F61" t="s">
        <v>529</v>
      </c>
      <c r="G61" t="s">
        <v>528</v>
      </c>
      <c r="H61" s="1">
        <v>6185</v>
      </c>
      <c r="I61" s="1" t="s">
        <v>665</v>
      </c>
      <c r="J61" s="1">
        <v>8868</v>
      </c>
      <c r="K61" s="1">
        <v>2474</v>
      </c>
      <c r="L61" s="1">
        <v>3141.0461158518119</v>
      </c>
      <c r="M61" s="1">
        <v>1844.0853872499472</v>
      </c>
      <c r="N61" s="1">
        <v>2474</v>
      </c>
      <c r="O61" s="1">
        <v>5465.504545454547</v>
      </c>
      <c r="P61" s="1">
        <v>1435</v>
      </c>
      <c r="Q61" s="1">
        <v>6185</v>
      </c>
      <c r="R61" s="1">
        <v>3352.6168224299063</v>
      </c>
      <c r="S61" s="1">
        <v>2824.8</v>
      </c>
      <c r="T61" s="1">
        <v>3781</v>
      </c>
      <c r="U61" s="1">
        <v>3905</v>
      </c>
      <c r="V61" s="3">
        <f>_xlfn.XLOOKUP(Table2[[#This Row],[admin3Pcode]],'Inter-sector dataset'!F:F,'Inter-sector dataset'!Q:Q)</f>
        <v>0</v>
      </c>
      <c r="W61" s="3">
        <f>_xlfn.XLOOKUP(Table2[[#This Row],[admin3Pcode]],'Inter-sector dataset'!F:F,'Inter-sector dataset'!R:R)</f>
        <v>0</v>
      </c>
      <c r="X61" s="1">
        <f>IFERROR(Table2[[#This Row],[Health_PIN]]*$V61,)</f>
        <v>0</v>
      </c>
      <c r="Y61" s="1">
        <f>IFERROR(Table2[[#This Row],[CCCM_PIN]]*$V61,)</f>
        <v>0</v>
      </c>
      <c r="Z61" s="1">
        <f>IFERROR(Table2[[#This Row],[ERL_PIN]]*$V61,)</f>
        <v>0</v>
      </c>
      <c r="AA61" s="1">
        <f>IFERROR(Table2[[#This Row],[NFI_PIN]]*$V61,)</f>
        <v>0</v>
      </c>
      <c r="AB61" s="1">
        <f>IFERROR(Table2[[#This Row],[Nutrition_PIN]]*$V61,)</f>
        <v>0</v>
      </c>
      <c r="AC61" s="1">
        <f>IFERROR(Table2[[#This Row],[Education_PIN]]*$V61,)</f>
        <v>0</v>
      </c>
      <c r="AD61" s="1">
        <f>IFERROR(Table2[[#This Row],[Shelter_PIN]]*$V61,)</f>
        <v>0</v>
      </c>
      <c r="AE61" s="1">
        <f>IFERROR(Table2[[#This Row],[WASH_PIN]]*$V61,)</f>
        <v>0</v>
      </c>
      <c r="AF61" s="1">
        <f>IFERROR(Table2[[#This Row],[WASH_acute_PIN]]*$V61,)</f>
        <v>0</v>
      </c>
      <c r="AG61" s="1">
        <f>IFERROR(Table2[[#This Row],[Protection_PIN]]*$V61,)</f>
        <v>0</v>
      </c>
      <c r="AH61" s="1">
        <f>IFERROR(Table2[[#This Row],[Food_PIN]]*$V61,)</f>
        <v>0</v>
      </c>
      <c r="AI61" s="1">
        <f>IFERROR(Table2[[#This Row],[Protection_CP_PIN]]*$V61,)</f>
        <v>0</v>
      </c>
      <c r="AJ61" s="1">
        <f>IFERROR(Table2[[#This Row],[Protection_GBV_PIN]]*$V61,)</f>
        <v>0</v>
      </c>
      <c r="AK61" s="1">
        <f>IFERROR(Table2[[#This Row],[Protection_MA_PIN]]*$V61,)</f>
        <v>0</v>
      </c>
      <c r="AL61" s="1">
        <f>IFERROR(Table2[[#This Row],[Health_PIN]]*$W61,)</f>
        <v>0</v>
      </c>
      <c r="AM61" s="1">
        <f>IFERROR(Table2[[#This Row],[CCCM_PIN]]*$W61,)</f>
        <v>0</v>
      </c>
      <c r="AN61" s="1">
        <f>IFERROR(Table2[[#This Row],[ERL_PIN]]*$W61,)</f>
        <v>0</v>
      </c>
      <c r="AO61" s="1">
        <f>IFERROR(Table2[[#This Row],[NFI_PIN]]*$W61,)</f>
        <v>0</v>
      </c>
      <c r="AP61" s="1">
        <f>IFERROR(Table2[[#This Row],[Nutrition_PIN]]*$W61,)</f>
        <v>0</v>
      </c>
      <c r="AQ61" s="1">
        <f>IFERROR(Table2[[#This Row],[Education_PIN]]*$W61,)</f>
        <v>0</v>
      </c>
      <c r="AR61" s="1">
        <f>IFERROR(Table2[[#This Row],[Shelter_PIN]]*$W61,)</f>
        <v>0</v>
      </c>
      <c r="AS61" s="1">
        <f>IFERROR(Table2[[#This Row],[WASH_PIN]]*$W61,)</f>
        <v>0</v>
      </c>
      <c r="AT61" s="1">
        <f>IFERROR(Table2[[#This Row],[WASH_acute_PIN]]*$W61,)</f>
        <v>0</v>
      </c>
      <c r="AU61" s="1">
        <f>IFERROR(Table2[[#This Row],[Protection_PIN]]*$W61,)</f>
        <v>0</v>
      </c>
      <c r="AV61" s="1">
        <f>IFERROR(Table2[[#This Row],[Food_PIN]]*$W61,)</f>
        <v>0</v>
      </c>
      <c r="AW61" s="1">
        <f>IFERROR(Table2[[#This Row],[Protection_CP_PIN]]*$W61,)</f>
        <v>0</v>
      </c>
      <c r="AX61" s="1">
        <f>IFERROR(Table2[[#This Row],[Protection_GBV_PIN]]*$W61,)</f>
        <v>0</v>
      </c>
      <c r="AY61" s="1">
        <f>IFERROR(Table2[[#This Row],[Protection_MA_PIN]]*$W61,)</f>
        <v>0</v>
      </c>
      <c r="AZ61" s="1">
        <v>2</v>
      </c>
      <c r="BA61" s="1">
        <v>3</v>
      </c>
      <c r="BB61" s="1">
        <v>4</v>
      </c>
      <c r="BC61" s="1">
        <v>2</v>
      </c>
      <c r="BD61" s="1">
        <v>3</v>
      </c>
      <c r="BE61" s="1">
        <v>3</v>
      </c>
      <c r="BF61" s="1">
        <v>3</v>
      </c>
      <c r="BG61" s="1">
        <v>4</v>
      </c>
      <c r="BH61" s="1">
        <v>3</v>
      </c>
      <c r="BI61" s="1">
        <v>3</v>
      </c>
      <c r="BJ61" s="1">
        <v>3</v>
      </c>
      <c r="BK61" s="1" t="s">
        <v>665</v>
      </c>
      <c r="BL61" s="1">
        <v>3</v>
      </c>
    </row>
    <row r="62" spans="1:64" x14ac:dyDescent="0.35">
      <c r="A62" t="s">
        <v>12</v>
      </c>
      <c r="B62" t="s">
        <v>673</v>
      </c>
      <c r="C62" t="s">
        <v>13</v>
      </c>
      <c r="D62" t="s">
        <v>534</v>
      </c>
      <c r="E62" t="s">
        <v>738</v>
      </c>
      <c r="F62" t="s">
        <v>535</v>
      </c>
      <c r="G62" t="s">
        <v>534</v>
      </c>
      <c r="H62" s="1">
        <v>0</v>
      </c>
      <c r="I62" s="1" t="s">
        <v>665</v>
      </c>
      <c r="J62" s="1">
        <v>7590</v>
      </c>
      <c r="K62" s="1">
        <v>2554</v>
      </c>
      <c r="L62" s="1">
        <v>2331.3676052527931</v>
      </c>
      <c r="M62" s="1">
        <v>1261.5285135571417</v>
      </c>
      <c r="N62" s="1">
        <v>0</v>
      </c>
      <c r="O62" s="1">
        <v>1125.6458955172193</v>
      </c>
      <c r="P62" s="1">
        <v>0</v>
      </c>
      <c r="Q62" s="1">
        <v>6386</v>
      </c>
      <c r="R62" s="1">
        <v>5439.5</v>
      </c>
      <c r="S62" s="1">
        <v>1549.2000000000003</v>
      </c>
      <c r="T62" s="1">
        <v>2053</v>
      </c>
      <c r="U62" s="1" t="s">
        <v>665</v>
      </c>
      <c r="V62" s="3">
        <f>_xlfn.XLOOKUP(Table2[[#This Row],[admin3Pcode]],'Inter-sector dataset'!F:F,'Inter-sector dataset'!Q:Q)</f>
        <v>0</v>
      </c>
      <c r="W62" s="3">
        <f>_xlfn.XLOOKUP(Table2[[#This Row],[admin3Pcode]],'Inter-sector dataset'!F:F,'Inter-sector dataset'!R:R)</f>
        <v>0</v>
      </c>
      <c r="X62" s="1">
        <f>IFERROR(Table2[[#This Row],[Health_PIN]]*$V62,)</f>
        <v>0</v>
      </c>
      <c r="Y62" s="1">
        <f>IFERROR(Table2[[#This Row],[CCCM_PIN]]*$V62,)</f>
        <v>0</v>
      </c>
      <c r="Z62" s="1">
        <f>IFERROR(Table2[[#This Row],[ERL_PIN]]*$V62,)</f>
        <v>0</v>
      </c>
      <c r="AA62" s="1">
        <f>IFERROR(Table2[[#This Row],[NFI_PIN]]*$V62,)</f>
        <v>0</v>
      </c>
      <c r="AB62" s="1">
        <f>IFERROR(Table2[[#This Row],[Nutrition_PIN]]*$V62,)</f>
        <v>0</v>
      </c>
      <c r="AC62" s="1">
        <f>IFERROR(Table2[[#This Row],[Education_PIN]]*$V62,)</f>
        <v>0</v>
      </c>
      <c r="AD62" s="1">
        <f>IFERROR(Table2[[#This Row],[Shelter_PIN]]*$V62,)</f>
        <v>0</v>
      </c>
      <c r="AE62" s="1">
        <f>IFERROR(Table2[[#This Row],[WASH_PIN]]*$V62,)</f>
        <v>0</v>
      </c>
      <c r="AF62" s="1">
        <f>IFERROR(Table2[[#This Row],[WASH_acute_PIN]]*$V62,)</f>
        <v>0</v>
      </c>
      <c r="AG62" s="1">
        <f>IFERROR(Table2[[#This Row],[Protection_PIN]]*$V62,)</f>
        <v>0</v>
      </c>
      <c r="AH62" s="1">
        <f>IFERROR(Table2[[#This Row],[Food_PIN]]*$V62,)</f>
        <v>0</v>
      </c>
      <c r="AI62" s="1">
        <f>IFERROR(Table2[[#This Row],[Protection_CP_PIN]]*$V62,)</f>
        <v>0</v>
      </c>
      <c r="AJ62" s="1">
        <f>IFERROR(Table2[[#This Row],[Protection_GBV_PIN]]*$V62,)</f>
        <v>0</v>
      </c>
      <c r="AK62" s="1">
        <f>IFERROR(Table2[[#This Row],[Protection_MA_PIN]]*$V62,)</f>
        <v>0</v>
      </c>
      <c r="AL62" s="1">
        <f>IFERROR(Table2[[#This Row],[Health_PIN]]*$W62,)</f>
        <v>0</v>
      </c>
      <c r="AM62" s="1">
        <f>IFERROR(Table2[[#This Row],[CCCM_PIN]]*$W62,)</f>
        <v>0</v>
      </c>
      <c r="AN62" s="1">
        <f>IFERROR(Table2[[#This Row],[ERL_PIN]]*$W62,)</f>
        <v>0</v>
      </c>
      <c r="AO62" s="1">
        <f>IFERROR(Table2[[#This Row],[NFI_PIN]]*$W62,)</f>
        <v>0</v>
      </c>
      <c r="AP62" s="1">
        <f>IFERROR(Table2[[#This Row],[Nutrition_PIN]]*$W62,)</f>
        <v>0</v>
      </c>
      <c r="AQ62" s="1">
        <f>IFERROR(Table2[[#This Row],[Education_PIN]]*$W62,)</f>
        <v>0</v>
      </c>
      <c r="AR62" s="1">
        <f>IFERROR(Table2[[#This Row],[Shelter_PIN]]*$W62,)</f>
        <v>0</v>
      </c>
      <c r="AS62" s="1">
        <f>IFERROR(Table2[[#This Row],[WASH_PIN]]*$W62,)</f>
        <v>0</v>
      </c>
      <c r="AT62" s="1">
        <f>IFERROR(Table2[[#This Row],[WASH_acute_PIN]]*$W62,)</f>
        <v>0</v>
      </c>
      <c r="AU62" s="1">
        <f>IFERROR(Table2[[#This Row],[Protection_PIN]]*$W62,)</f>
        <v>0</v>
      </c>
      <c r="AV62" s="1">
        <f>IFERROR(Table2[[#This Row],[Food_PIN]]*$W62,)</f>
        <v>0</v>
      </c>
      <c r="AW62" s="1">
        <f>IFERROR(Table2[[#This Row],[Protection_CP_PIN]]*$W62,)</f>
        <v>0</v>
      </c>
      <c r="AX62" s="1">
        <f>IFERROR(Table2[[#This Row],[Protection_GBV_PIN]]*$W62,)</f>
        <v>0</v>
      </c>
      <c r="AY62" s="1">
        <f>IFERROR(Table2[[#This Row],[Protection_MA_PIN]]*$W62,)</f>
        <v>0</v>
      </c>
      <c r="AZ62" s="1">
        <v>1</v>
      </c>
      <c r="BA62" s="1">
        <v>3</v>
      </c>
      <c r="BB62" s="1">
        <v>4</v>
      </c>
      <c r="BC62" s="1">
        <v>2</v>
      </c>
      <c r="BD62" s="1">
        <v>3</v>
      </c>
      <c r="BE62" s="1">
        <v>2</v>
      </c>
      <c r="BF62" s="1">
        <v>3</v>
      </c>
      <c r="BG62" s="1">
        <v>3</v>
      </c>
      <c r="BH62" s="1">
        <v>2</v>
      </c>
      <c r="BI62" s="1">
        <v>3</v>
      </c>
      <c r="BJ62" s="1">
        <v>3</v>
      </c>
      <c r="BK62" s="1" t="s">
        <v>665</v>
      </c>
      <c r="BL62" s="1">
        <v>2</v>
      </c>
    </row>
    <row r="63" spans="1:64" x14ac:dyDescent="0.35">
      <c r="A63" t="s">
        <v>205</v>
      </c>
      <c r="B63" t="s">
        <v>723</v>
      </c>
      <c r="C63" t="s">
        <v>206</v>
      </c>
      <c r="D63" t="s">
        <v>209</v>
      </c>
      <c r="E63" t="s">
        <v>739</v>
      </c>
      <c r="F63" t="s">
        <v>210</v>
      </c>
      <c r="G63" t="s">
        <v>209</v>
      </c>
      <c r="H63" s="1">
        <v>0</v>
      </c>
      <c r="I63" s="1" t="s">
        <v>665</v>
      </c>
      <c r="J63" s="1">
        <v>13005</v>
      </c>
      <c r="K63" s="1">
        <v>2674</v>
      </c>
      <c r="L63" s="1">
        <v>3517.9726290473145</v>
      </c>
      <c r="M63" s="1">
        <v>4852.0166666666664</v>
      </c>
      <c r="N63" s="1">
        <v>73</v>
      </c>
      <c r="O63" s="1">
        <v>13369.000000000004</v>
      </c>
      <c r="P63" s="1">
        <v>10668</v>
      </c>
      <c r="Q63" s="1">
        <v>6685</v>
      </c>
      <c r="R63" s="1">
        <v>8578.4416666666657</v>
      </c>
      <c r="S63" s="1">
        <v>3578.7</v>
      </c>
      <c r="T63" s="1">
        <v>6248</v>
      </c>
      <c r="U63" s="1">
        <v>8773</v>
      </c>
      <c r="V63" s="3">
        <f>_xlfn.XLOOKUP(Table2[[#This Row],[admin3Pcode]],'Inter-sector dataset'!F:F,'Inter-sector dataset'!Q:Q)</f>
        <v>0</v>
      </c>
      <c r="W63" s="3">
        <f>_xlfn.XLOOKUP(Table2[[#This Row],[admin3Pcode]],'Inter-sector dataset'!F:F,'Inter-sector dataset'!R:R)</f>
        <v>0</v>
      </c>
      <c r="X63" s="1">
        <f>IFERROR(Table2[[#This Row],[Health_PIN]]*$V63,)</f>
        <v>0</v>
      </c>
      <c r="Y63" s="1">
        <f>IFERROR(Table2[[#This Row],[CCCM_PIN]]*$V63,)</f>
        <v>0</v>
      </c>
      <c r="Z63" s="1">
        <f>IFERROR(Table2[[#This Row],[ERL_PIN]]*$V63,)</f>
        <v>0</v>
      </c>
      <c r="AA63" s="1">
        <f>IFERROR(Table2[[#This Row],[NFI_PIN]]*$V63,)</f>
        <v>0</v>
      </c>
      <c r="AB63" s="1">
        <f>IFERROR(Table2[[#This Row],[Nutrition_PIN]]*$V63,)</f>
        <v>0</v>
      </c>
      <c r="AC63" s="1">
        <f>IFERROR(Table2[[#This Row],[Education_PIN]]*$V63,)</f>
        <v>0</v>
      </c>
      <c r="AD63" s="1">
        <f>IFERROR(Table2[[#This Row],[Shelter_PIN]]*$V63,)</f>
        <v>0</v>
      </c>
      <c r="AE63" s="1">
        <f>IFERROR(Table2[[#This Row],[WASH_PIN]]*$V63,)</f>
        <v>0</v>
      </c>
      <c r="AF63" s="1">
        <f>IFERROR(Table2[[#This Row],[WASH_acute_PIN]]*$V63,)</f>
        <v>0</v>
      </c>
      <c r="AG63" s="1">
        <f>IFERROR(Table2[[#This Row],[Protection_PIN]]*$V63,)</f>
        <v>0</v>
      </c>
      <c r="AH63" s="1">
        <f>IFERROR(Table2[[#This Row],[Food_PIN]]*$V63,)</f>
        <v>0</v>
      </c>
      <c r="AI63" s="1">
        <f>IFERROR(Table2[[#This Row],[Protection_CP_PIN]]*$V63,)</f>
        <v>0</v>
      </c>
      <c r="AJ63" s="1">
        <f>IFERROR(Table2[[#This Row],[Protection_GBV_PIN]]*$V63,)</f>
        <v>0</v>
      </c>
      <c r="AK63" s="1">
        <f>IFERROR(Table2[[#This Row],[Protection_MA_PIN]]*$V63,)</f>
        <v>0</v>
      </c>
      <c r="AL63" s="1">
        <f>IFERROR(Table2[[#This Row],[Health_PIN]]*$W63,)</f>
        <v>0</v>
      </c>
      <c r="AM63" s="1">
        <f>IFERROR(Table2[[#This Row],[CCCM_PIN]]*$W63,)</f>
        <v>0</v>
      </c>
      <c r="AN63" s="1">
        <f>IFERROR(Table2[[#This Row],[ERL_PIN]]*$W63,)</f>
        <v>0</v>
      </c>
      <c r="AO63" s="1">
        <f>IFERROR(Table2[[#This Row],[NFI_PIN]]*$W63,)</f>
        <v>0</v>
      </c>
      <c r="AP63" s="1">
        <f>IFERROR(Table2[[#This Row],[Nutrition_PIN]]*$W63,)</f>
        <v>0</v>
      </c>
      <c r="AQ63" s="1">
        <f>IFERROR(Table2[[#This Row],[Education_PIN]]*$W63,)</f>
        <v>0</v>
      </c>
      <c r="AR63" s="1">
        <f>IFERROR(Table2[[#This Row],[Shelter_PIN]]*$W63,)</f>
        <v>0</v>
      </c>
      <c r="AS63" s="1">
        <f>IFERROR(Table2[[#This Row],[WASH_PIN]]*$W63,)</f>
        <v>0</v>
      </c>
      <c r="AT63" s="1">
        <f>IFERROR(Table2[[#This Row],[WASH_acute_PIN]]*$W63,)</f>
        <v>0</v>
      </c>
      <c r="AU63" s="1">
        <f>IFERROR(Table2[[#This Row],[Protection_PIN]]*$W63,)</f>
        <v>0</v>
      </c>
      <c r="AV63" s="1">
        <f>IFERROR(Table2[[#This Row],[Food_PIN]]*$W63,)</f>
        <v>0</v>
      </c>
      <c r="AW63" s="1">
        <f>IFERROR(Table2[[#This Row],[Protection_CP_PIN]]*$W63,)</f>
        <v>0</v>
      </c>
      <c r="AX63" s="1">
        <f>IFERROR(Table2[[#This Row],[Protection_GBV_PIN]]*$W63,)</f>
        <v>0</v>
      </c>
      <c r="AY63" s="1">
        <f>IFERROR(Table2[[#This Row],[Protection_MA_PIN]]*$W63,)</f>
        <v>0</v>
      </c>
      <c r="AZ63" s="1">
        <v>2</v>
      </c>
      <c r="BA63" s="1">
        <v>3</v>
      </c>
      <c r="BB63" s="1">
        <v>4</v>
      </c>
      <c r="BC63" s="1">
        <v>2</v>
      </c>
      <c r="BD63" s="1">
        <v>3</v>
      </c>
      <c r="BE63" s="1">
        <v>2</v>
      </c>
      <c r="BF63" s="1">
        <v>3</v>
      </c>
      <c r="BG63" s="1">
        <v>4</v>
      </c>
      <c r="BH63" s="1">
        <v>4</v>
      </c>
      <c r="BI63" s="1">
        <v>3</v>
      </c>
      <c r="BJ63" s="1">
        <v>4</v>
      </c>
      <c r="BK63" s="1" t="s">
        <v>665</v>
      </c>
      <c r="BL63" s="1">
        <v>4</v>
      </c>
    </row>
    <row r="64" spans="1:64" x14ac:dyDescent="0.35">
      <c r="A64" t="s">
        <v>17</v>
      </c>
      <c r="B64" t="s">
        <v>663</v>
      </c>
      <c r="C64" t="s">
        <v>18</v>
      </c>
      <c r="D64" t="s">
        <v>374</v>
      </c>
      <c r="E64" t="s">
        <v>740</v>
      </c>
      <c r="F64" t="s">
        <v>375</v>
      </c>
      <c r="G64" t="s">
        <v>374</v>
      </c>
      <c r="H64" s="1">
        <v>6699.5</v>
      </c>
      <c r="I64" s="1" t="s">
        <v>665</v>
      </c>
      <c r="J64" s="1">
        <v>11708</v>
      </c>
      <c r="K64" s="1">
        <v>0</v>
      </c>
      <c r="L64" s="1">
        <v>3027.4645945945958</v>
      </c>
      <c r="M64" s="1">
        <v>1122.372222222222</v>
      </c>
      <c r="N64" s="1">
        <v>2680</v>
      </c>
      <c r="O64" s="1">
        <v>5907.0860215053772</v>
      </c>
      <c r="P64" s="1">
        <v>3602</v>
      </c>
      <c r="Q64" s="1">
        <v>6700</v>
      </c>
      <c r="R64" s="1">
        <v>12654.611111111111</v>
      </c>
      <c r="S64" s="1">
        <v>2541.6</v>
      </c>
      <c r="T64" s="1">
        <v>3839</v>
      </c>
      <c r="U64" s="1">
        <v>13399</v>
      </c>
      <c r="V64" s="3">
        <f>_xlfn.XLOOKUP(Table2[[#This Row],[admin3Pcode]],'Inter-sector dataset'!F:F,'Inter-sector dataset'!Q:Q)</f>
        <v>0</v>
      </c>
      <c r="W64" s="3">
        <f>_xlfn.XLOOKUP(Table2[[#This Row],[admin3Pcode]],'Inter-sector dataset'!F:F,'Inter-sector dataset'!R:R)</f>
        <v>0</v>
      </c>
      <c r="X64" s="1">
        <f>IFERROR(Table2[[#This Row],[Health_PIN]]*$V64,)</f>
        <v>0</v>
      </c>
      <c r="Y64" s="1">
        <f>IFERROR(Table2[[#This Row],[CCCM_PIN]]*$V64,)</f>
        <v>0</v>
      </c>
      <c r="Z64" s="1">
        <f>IFERROR(Table2[[#This Row],[ERL_PIN]]*$V64,)</f>
        <v>0</v>
      </c>
      <c r="AA64" s="1">
        <f>IFERROR(Table2[[#This Row],[NFI_PIN]]*$V64,)</f>
        <v>0</v>
      </c>
      <c r="AB64" s="1">
        <f>IFERROR(Table2[[#This Row],[Nutrition_PIN]]*$V64,)</f>
        <v>0</v>
      </c>
      <c r="AC64" s="1">
        <f>IFERROR(Table2[[#This Row],[Education_PIN]]*$V64,)</f>
        <v>0</v>
      </c>
      <c r="AD64" s="1">
        <f>IFERROR(Table2[[#This Row],[Shelter_PIN]]*$V64,)</f>
        <v>0</v>
      </c>
      <c r="AE64" s="1">
        <f>IFERROR(Table2[[#This Row],[WASH_PIN]]*$V64,)</f>
        <v>0</v>
      </c>
      <c r="AF64" s="1">
        <f>IFERROR(Table2[[#This Row],[WASH_acute_PIN]]*$V64,)</f>
        <v>0</v>
      </c>
      <c r="AG64" s="1">
        <f>IFERROR(Table2[[#This Row],[Protection_PIN]]*$V64,)</f>
        <v>0</v>
      </c>
      <c r="AH64" s="1">
        <f>IFERROR(Table2[[#This Row],[Food_PIN]]*$V64,)</f>
        <v>0</v>
      </c>
      <c r="AI64" s="1">
        <f>IFERROR(Table2[[#This Row],[Protection_CP_PIN]]*$V64,)</f>
        <v>0</v>
      </c>
      <c r="AJ64" s="1">
        <f>IFERROR(Table2[[#This Row],[Protection_GBV_PIN]]*$V64,)</f>
        <v>0</v>
      </c>
      <c r="AK64" s="1">
        <f>IFERROR(Table2[[#This Row],[Protection_MA_PIN]]*$V64,)</f>
        <v>0</v>
      </c>
      <c r="AL64" s="1">
        <f>IFERROR(Table2[[#This Row],[Health_PIN]]*$W64,)</f>
        <v>0</v>
      </c>
      <c r="AM64" s="1">
        <f>IFERROR(Table2[[#This Row],[CCCM_PIN]]*$W64,)</f>
        <v>0</v>
      </c>
      <c r="AN64" s="1">
        <f>IFERROR(Table2[[#This Row],[ERL_PIN]]*$W64,)</f>
        <v>0</v>
      </c>
      <c r="AO64" s="1">
        <f>IFERROR(Table2[[#This Row],[NFI_PIN]]*$W64,)</f>
        <v>0</v>
      </c>
      <c r="AP64" s="1">
        <f>IFERROR(Table2[[#This Row],[Nutrition_PIN]]*$W64,)</f>
        <v>0</v>
      </c>
      <c r="AQ64" s="1">
        <f>IFERROR(Table2[[#This Row],[Education_PIN]]*$W64,)</f>
        <v>0</v>
      </c>
      <c r="AR64" s="1">
        <f>IFERROR(Table2[[#This Row],[Shelter_PIN]]*$W64,)</f>
        <v>0</v>
      </c>
      <c r="AS64" s="1">
        <f>IFERROR(Table2[[#This Row],[WASH_PIN]]*$W64,)</f>
        <v>0</v>
      </c>
      <c r="AT64" s="1">
        <f>IFERROR(Table2[[#This Row],[WASH_acute_PIN]]*$W64,)</f>
        <v>0</v>
      </c>
      <c r="AU64" s="1">
        <f>IFERROR(Table2[[#This Row],[Protection_PIN]]*$W64,)</f>
        <v>0</v>
      </c>
      <c r="AV64" s="1">
        <f>IFERROR(Table2[[#This Row],[Food_PIN]]*$W64,)</f>
        <v>0</v>
      </c>
      <c r="AW64" s="1">
        <f>IFERROR(Table2[[#This Row],[Protection_CP_PIN]]*$W64,)</f>
        <v>0</v>
      </c>
      <c r="AX64" s="1">
        <f>IFERROR(Table2[[#This Row],[Protection_GBV_PIN]]*$W64,)</f>
        <v>0</v>
      </c>
      <c r="AY64" s="1">
        <f>IFERROR(Table2[[#This Row],[Protection_MA_PIN]]*$W64,)</f>
        <v>0</v>
      </c>
      <c r="AZ64" s="1">
        <v>2</v>
      </c>
      <c r="BA64" s="1">
        <v>3</v>
      </c>
      <c r="BB64" s="1">
        <v>3</v>
      </c>
      <c r="BC64" s="1">
        <v>1</v>
      </c>
      <c r="BD64" s="1">
        <v>3</v>
      </c>
      <c r="BE64" s="1">
        <v>3</v>
      </c>
      <c r="BF64" s="1">
        <v>3</v>
      </c>
      <c r="BG64" s="1">
        <v>4</v>
      </c>
      <c r="BH64" s="1">
        <v>3</v>
      </c>
      <c r="BI64" s="1">
        <v>3</v>
      </c>
      <c r="BJ64" s="1">
        <v>3</v>
      </c>
      <c r="BK64" s="1" t="s">
        <v>665</v>
      </c>
      <c r="BL64" s="1">
        <v>4</v>
      </c>
    </row>
    <row r="65" spans="1:64" x14ac:dyDescent="0.35">
      <c r="A65" t="s">
        <v>6</v>
      </c>
      <c r="B65" t="s">
        <v>667</v>
      </c>
      <c r="C65" t="s">
        <v>7</v>
      </c>
      <c r="D65" t="s">
        <v>80</v>
      </c>
      <c r="E65" t="s">
        <v>741</v>
      </c>
      <c r="F65" t="s">
        <v>81</v>
      </c>
      <c r="G65" t="s">
        <v>80</v>
      </c>
      <c r="H65" s="1">
        <v>6814</v>
      </c>
      <c r="I65" s="1" t="s">
        <v>665</v>
      </c>
      <c r="J65" s="1">
        <v>12715</v>
      </c>
      <c r="K65" s="1">
        <v>850</v>
      </c>
      <c r="L65" s="1">
        <v>2592.6603795857054</v>
      </c>
      <c r="M65" s="1">
        <v>4179.3166666666666</v>
      </c>
      <c r="N65" s="1">
        <v>0</v>
      </c>
      <c r="O65" s="1">
        <v>1425.387090436667</v>
      </c>
      <c r="P65" s="1">
        <v>0</v>
      </c>
      <c r="Q65" s="1">
        <v>6814</v>
      </c>
      <c r="R65" s="1">
        <v>4416.4814814814818</v>
      </c>
      <c r="S65" s="1">
        <v>2893.2</v>
      </c>
      <c r="T65" s="1">
        <v>2145</v>
      </c>
      <c r="U65" s="1" t="s">
        <v>665</v>
      </c>
      <c r="V65" s="3">
        <f>_xlfn.XLOOKUP(Table2[[#This Row],[admin3Pcode]],'Inter-sector dataset'!F:F,'Inter-sector dataset'!Q:Q)</f>
        <v>0</v>
      </c>
      <c r="W65" s="3">
        <f>_xlfn.XLOOKUP(Table2[[#This Row],[admin3Pcode]],'Inter-sector dataset'!F:F,'Inter-sector dataset'!R:R)</f>
        <v>0</v>
      </c>
      <c r="X65" s="1">
        <f>IFERROR(Table2[[#This Row],[Health_PIN]]*$V65,)</f>
        <v>0</v>
      </c>
      <c r="Y65" s="1">
        <f>IFERROR(Table2[[#This Row],[CCCM_PIN]]*$V65,)</f>
        <v>0</v>
      </c>
      <c r="Z65" s="1">
        <f>IFERROR(Table2[[#This Row],[ERL_PIN]]*$V65,)</f>
        <v>0</v>
      </c>
      <c r="AA65" s="1">
        <f>IFERROR(Table2[[#This Row],[NFI_PIN]]*$V65,)</f>
        <v>0</v>
      </c>
      <c r="AB65" s="1">
        <f>IFERROR(Table2[[#This Row],[Nutrition_PIN]]*$V65,)</f>
        <v>0</v>
      </c>
      <c r="AC65" s="1">
        <f>IFERROR(Table2[[#This Row],[Education_PIN]]*$V65,)</f>
        <v>0</v>
      </c>
      <c r="AD65" s="1">
        <f>IFERROR(Table2[[#This Row],[Shelter_PIN]]*$V65,)</f>
        <v>0</v>
      </c>
      <c r="AE65" s="1">
        <f>IFERROR(Table2[[#This Row],[WASH_PIN]]*$V65,)</f>
        <v>0</v>
      </c>
      <c r="AF65" s="1">
        <f>IFERROR(Table2[[#This Row],[WASH_acute_PIN]]*$V65,)</f>
        <v>0</v>
      </c>
      <c r="AG65" s="1">
        <f>IFERROR(Table2[[#This Row],[Protection_PIN]]*$V65,)</f>
        <v>0</v>
      </c>
      <c r="AH65" s="1">
        <f>IFERROR(Table2[[#This Row],[Food_PIN]]*$V65,)</f>
        <v>0</v>
      </c>
      <c r="AI65" s="1">
        <f>IFERROR(Table2[[#This Row],[Protection_CP_PIN]]*$V65,)</f>
        <v>0</v>
      </c>
      <c r="AJ65" s="1">
        <f>IFERROR(Table2[[#This Row],[Protection_GBV_PIN]]*$V65,)</f>
        <v>0</v>
      </c>
      <c r="AK65" s="1">
        <f>IFERROR(Table2[[#This Row],[Protection_MA_PIN]]*$V65,)</f>
        <v>0</v>
      </c>
      <c r="AL65" s="1">
        <f>IFERROR(Table2[[#This Row],[Health_PIN]]*$W65,)</f>
        <v>0</v>
      </c>
      <c r="AM65" s="1">
        <f>IFERROR(Table2[[#This Row],[CCCM_PIN]]*$W65,)</f>
        <v>0</v>
      </c>
      <c r="AN65" s="1">
        <f>IFERROR(Table2[[#This Row],[ERL_PIN]]*$W65,)</f>
        <v>0</v>
      </c>
      <c r="AO65" s="1">
        <f>IFERROR(Table2[[#This Row],[NFI_PIN]]*$W65,)</f>
        <v>0</v>
      </c>
      <c r="AP65" s="1">
        <f>IFERROR(Table2[[#This Row],[Nutrition_PIN]]*$W65,)</f>
        <v>0</v>
      </c>
      <c r="AQ65" s="1">
        <f>IFERROR(Table2[[#This Row],[Education_PIN]]*$W65,)</f>
        <v>0</v>
      </c>
      <c r="AR65" s="1">
        <f>IFERROR(Table2[[#This Row],[Shelter_PIN]]*$W65,)</f>
        <v>0</v>
      </c>
      <c r="AS65" s="1">
        <f>IFERROR(Table2[[#This Row],[WASH_PIN]]*$W65,)</f>
        <v>0</v>
      </c>
      <c r="AT65" s="1">
        <f>IFERROR(Table2[[#This Row],[WASH_acute_PIN]]*$W65,)</f>
        <v>0</v>
      </c>
      <c r="AU65" s="1">
        <f>IFERROR(Table2[[#This Row],[Protection_PIN]]*$W65,)</f>
        <v>0</v>
      </c>
      <c r="AV65" s="1">
        <f>IFERROR(Table2[[#This Row],[Food_PIN]]*$W65,)</f>
        <v>0</v>
      </c>
      <c r="AW65" s="1">
        <f>IFERROR(Table2[[#This Row],[Protection_CP_PIN]]*$W65,)</f>
        <v>0</v>
      </c>
      <c r="AX65" s="1">
        <f>IFERROR(Table2[[#This Row],[Protection_GBV_PIN]]*$W65,)</f>
        <v>0</v>
      </c>
      <c r="AY65" s="1">
        <f>IFERROR(Table2[[#This Row],[Protection_MA_PIN]]*$W65,)</f>
        <v>0</v>
      </c>
      <c r="AZ65" s="1">
        <v>1</v>
      </c>
      <c r="BA65" s="1">
        <v>3</v>
      </c>
      <c r="BB65" s="1">
        <v>4</v>
      </c>
      <c r="BC65" s="1">
        <v>2</v>
      </c>
      <c r="BD65" s="1">
        <v>3</v>
      </c>
      <c r="BE65" s="1">
        <v>3</v>
      </c>
      <c r="BF65" s="1">
        <v>3</v>
      </c>
      <c r="BG65" s="1">
        <v>4</v>
      </c>
      <c r="BH65" s="1">
        <v>2</v>
      </c>
      <c r="BI65" s="1">
        <v>3</v>
      </c>
      <c r="BJ65" s="1">
        <v>3</v>
      </c>
      <c r="BK65" s="1" t="s">
        <v>665</v>
      </c>
      <c r="BL65" s="1">
        <v>2</v>
      </c>
    </row>
    <row r="66" spans="1:64" x14ac:dyDescent="0.35">
      <c r="A66" t="s">
        <v>12</v>
      </c>
      <c r="B66" t="s">
        <v>673</v>
      </c>
      <c r="C66" t="s">
        <v>13</v>
      </c>
      <c r="D66" t="s">
        <v>15</v>
      </c>
      <c r="E66" t="s">
        <v>742</v>
      </c>
      <c r="F66" t="s">
        <v>16</v>
      </c>
      <c r="G66" t="s">
        <v>15</v>
      </c>
      <c r="H66" s="1">
        <v>0</v>
      </c>
      <c r="I66" s="1" t="s">
        <v>665</v>
      </c>
      <c r="J66" s="1">
        <v>13382</v>
      </c>
      <c r="K66" s="1">
        <v>2730</v>
      </c>
      <c r="L66" s="1">
        <v>2970.0062311994143</v>
      </c>
      <c r="M66" s="1">
        <v>7974.2333333333336</v>
      </c>
      <c r="N66" s="1">
        <v>0</v>
      </c>
      <c r="O66" s="1">
        <v>624.28501265631496</v>
      </c>
      <c r="P66" s="1">
        <v>0</v>
      </c>
      <c r="Q66" s="1">
        <v>6825</v>
      </c>
      <c r="R66" s="1">
        <v>8014.6788990825689</v>
      </c>
      <c r="S66" s="1">
        <v>2492</v>
      </c>
      <c r="T66" s="1">
        <v>2291</v>
      </c>
      <c r="U66" s="1" t="s">
        <v>665</v>
      </c>
      <c r="V66" s="3">
        <f>_xlfn.XLOOKUP(Table2[[#This Row],[admin3Pcode]],'Inter-sector dataset'!F:F,'Inter-sector dataset'!Q:Q)</f>
        <v>0</v>
      </c>
      <c r="W66" s="3">
        <f>_xlfn.XLOOKUP(Table2[[#This Row],[admin3Pcode]],'Inter-sector dataset'!F:F,'Inter-sector dataset'!R:R)</f>
        <v>0</v>
      </c>
      <c r="X66" s="1">
        <f>IFERROR(Table2[[#This Row],[Health_PIN]]*$V66,)</f>
        <v>0</v>
      </c>
      <c r="Y66" s="1">
        <f>IFERROR(Table2[[#This Row],[CCCM_PIN]]*$V66,)</f>
        <v>0</v>
      </c>
      <c r="Z66" s="1">
        <f>IFERROR(Table2[[#This Row],[ERL_PIN]]*$V66,)</f>
        <v>0</v>
      </c>
      <c r="AA66" s="1">
        <f>IFERROR(Table2[[#This Row],[NFI_PIN]]*$V66,)</f>
        <v>0</v>
      </c>
      <c r="AB66" s="1">
        <f>IFERROR(Table2[[#This Row],[Nutrition_PIN]]*$V66,)</f>
        <v>0</v>
      </c>
      <c r="AC66" s="1">
        <f>IFERROR(Table2[[#This Row],[Education_PIN]]*$V66,)</f>
        <v>0</v>
      </c>
      <c r="AD66" s="1">
        <f>IFERROR(Table2[[#This Row],[Shelter_PIN]]*$V66,)</f>
        <v>0</v>
      </c>
      <c r="AE66" s="1">
        <f>IFERROR(Table2[[#This Row],[WASH_PIN]]*$V66,)</f>
        <v>0</v>
      </c>
      <c r="AF66" s="1">
        <f>IFERROR(Table2[[#This Row],[WASH_acute_PIN]]*$V66,)</f>
        <v>0</v>
      </c>
      <c r="AG66" s="1">
        <f>IFERROR(Table2[[#This Row],[Protection_PIN]]*$V66,)</f>
        <v>0</v>
      </c>
      <c r="AH66" s="1">
        <f>IFERROR(Table2[[#This Row],[Food_PIN]]*$V66,)</f>
        <v>0</v>
      </c>
      <c r="AI66" s="1">
        <f>IFERROR(Table2[[#This Row],[Protection_CP_PIN]]*$V66,)</f>
        <v>0</v>
      </c>
      <c r="AJ66" s="1">
        <f>IFERROR(Table2[[#This Row],[Protection_GBV_PIN]]*$V66,)</f>
        <v>0</v>
      </c>
      <c r="AK66" s="1">
        <f>IFERROR(Table2[[#This Row],[Protection_MA_PIN]]*$V66,)</f>
        <v>0</v>
      </c>
      <c r="AL66" s="1">
        <f>IFERROR(Table2[[#This Row],[Health_PIN]]*$W66,)</f>
        <v>0</v>
      </c>
      <c r="AM66" s="1">
        <f>IFERROR(Table2[[#This Row],[CCCM_PIN]]*$W66,)</f>
        <v>0</v>
      </c>
      <c r="AN66" s="1">
        <f>IFERROR(Table2[[#This Row],[ERL_PIN]]*$W66,)</f>
        <v>0</v>
      </c>
      <c r="AO66" s="1">
        <f>IFERROR(Table2[[#This Row],[NFI_PIN]]*$W66,)</f>
        <v>0</v>
      </c>
      <c r="AP66" s="1">
        <f>IFERROR(Table2[[#This Row],[Nutrition_PIN]]*$W66,)</f>
        <v>0</v>
      </c>
      <c r="AQ66" s="1">
        <f>IFERROR(Table2[[#This Row],[Education_PIN]]*$W66,)</f>
        <v>0</v>
      </c>
      <c r="AR66" s="1">
        <f>IFERROR(Table2[[#This Row],[Shelter_PIN]]*$W66,)</f>
        <v>0</v>
      </c>
      <c r="AS66" s="1">
        <f>IFERROR(Table2[[#This Row],[WASH_PIN]]*$W66,)</f>
        <v>0</v>
      </c>
      <c r="AT66" s="1">
        <f>IFERROR(Table2[[#This Row],[WASH_acute_PIN]]*$W66,)</f>
        <v>0</v>
      </c>
      <c r="AU66" s="1">
        <f>IFERROR(Table2[[#This Row],[Protection_PIN]]*$W66,)</f>
        <v>0</v>
      </c>
      <c r="AV66" s="1">
        <f>IFERROR(Table2[[#This Row],[Food_PIN]]*$W66,)</f>
        <v>0</v>
      </c>
      <c r="AW66" s="1">
        <f>IFERROR(Table2[[#This Row],[Protection_CP_PIN]]*$W66,)</f>
        <v>0</v>
      </c>
      <c r="AX66" s="1">
        <f>IFERROR(Table2[[#This Row],[Protection_GBV_PIN]]*$W66,)</f>
        <v>0</v>
      </c>
      <c r="AY66" s="1">
        <f>IFERROR(Table2[[#This Row],[Protection_MA_PIN]]*$W66,)</f>
        <v>0</v>
      </c>
      <c r="AZ66" s="1">
        <v>1</v>
      </c>
      <c r="BA66" s="1">
        <v>3</v>
      </c>
      <c r="BB66" s="1">
        <v>4</v>
      </c>
      <c r="BC66" s="1">
        <v>2</v>
      </c>
      <c r="BD66" s="1">
        <v>3</v>
      </c>
      <c r="BE66" s="1">
        <v>2</v>
      </c>
      <c r="BF66" s="1">
        <v>3</v>
      </c>
      <c r="BG66" s="1">
        <v>3</v>
      </c>
      <c r="BH66" s="1">
        <v>2</v>
      </c>
      <c r="BI66" s="1">
        <v>3</v>
      </c>
      <c r="BJ66" s="1">
        <v>3</v>
      </c>
      <c r="BK66" s="1" t="s">
        <v>665</v>
      </c>
      <c r="BL66" s="1">
        <v>2</v>
      </c>
    </row>
    <row r="67" spans="1:64" x14ac:dyDescent="0.35">
      <c r="A67" t="s">
        <v>192</v>
      </c>
      <c r="B67" t="s">
        <v>711</v>
      </c>
      <c r="C67" t="s">
        <v>193</v>
      </c>
      <c r="D67" t="s">
        <v>231</v>
      </c>
      <c r="E67" t="s">
        <v>743</v>
      </c>
      <c r="F67" t="s">
        <v>232</v>
      </c>
      <c r="G67" t="s">
        <v>231</v>
      </c>
      <c r="H67" s="1">
        <v>10248.75</v>
      </c>
      <c r="I67" s="1" t="s">
        <v>665</v>
      </c>
      <c r="J67" s="1">
        <v>10659</v>
      </c>
      <c r="K67" s="1">
        <v>2729</v>
      </c>
      <c r="L67" s="1">
        <v>4257.2901833395999</v>
      </c>
      <c r="M67" s="1">
        <v>1876.5333333333315</v>
      </c>
      <c r="N67" s="1">
        <v>2733</v>
      </c>
      <c r="O67" s="1">
        <v>10003.146021463161</v>
      </c>
      <c r="P67" s="1">
        <v>2499</v>
      </c>
      <c r="Q67" s="1">
        <v>6833</v>
      </c>
      <c r="R67" s="1">
        <v>7183.8857142857141</v>
      </c>
      <c r="S67" s="1">
        <v>4098.8999999999996</v>
      </c>
      <c r="T67" s="1">
        <v>5971</v>
      </c>
      <c r="U67" s="1">
        <v>5113</v>
      </c>
      <c r="V67" s="3">
        <f>_xlfn.XLOOKUP(Table2[[#This Row],[admin3Pcode]],'Inter-sector dataset'!F:F,'Inter-sector dataset'!Q:Q)</f>
        <v>0</v>
      </c>
      <c r="W67" s="3">
        <f>_xlfn.XLOOKUP(Table2[[#This Row],[admin3Pcode]],'Inter-sector dataset'!F:F,'Inter-sector dataset'!R:R)</f>
        <v>0</v>
      </c>
      <c r="X67" s="1">
        <f>IFERROR(Table2[[#This Row],[Health_PIN]]*$V67,)</f>
        <v>0</v>
      </c>
      <c r="Y67" s="1">
        <f>IFERROR(Table2[[#This Row],[CCCM_PIN]]*$V67,)</f>
        <v>0</v>
      </c>
      <c r="Z67" s="1">
        <f>IFERROR(Table2[[#This Row],[ERL_PIN]]*$V67,)</f>
        <v>0</v>
      </c>
      <c r="AA67" s="1">
        <f>IFERROR(Table2[[#This Row],[NFI_PIN]]*$V67,)</f>
        <v>0</v>
      </c>
      <c r="AB67" s="1">
        <f>IFERROR(Table2[[#This Row],[Nutrition_PIN]]*$V67,)</f>
        <v>0</v>
      </c>
      <c r="AC67" s="1">
        <f>IFERROR(Table2[[#This Row],[Education_PIN]]*$V67,)</f>
        <v>0</v>
      </c>
      <c r="AD67" s="1">
        <f>IFERROR(Table2[[#This Row],[Shelter_PIN]]*$V67,)</f>
        <v>0</v>
      </c>
      <c r="AE67" s="1">
        <f>IFERROR(Table2[[#This Row],[WASH_PIN]]*$V67,)</f>
        <v>0</v>
      </c>
      <c r="AF67" s="1">
        <f>IFERROR(Table2[[#This Row],[WASH_acute_PIN]]*$V67,)</f>
        <v>0</v>
      </c>
      <c r="AG67" s="1">
        <f>IFERROR(Table2[[#This Row],[Protection_PIN]]*$V67,)</f>
        <v>0</v>
      </c>
      <c r="AH67" s="1">
        <f>IFERROR(Table2[[#This Row],[Food_PIN]]*$V67,)</f>
        <v>0</v>
      </c>
      <c r="AI67" s="1">
        <f>IFERROR(Table2[[#This Row],[Protection_CP_PIN]]*$V67,)</f>
        <v>0</v>
      </c>
      <c r="AJ67" s="1">
        <f>IFERROR(Table2[[#This Row],[Protection_GBV_PIN]]*$V67,)</f>
        <v>0</v>
      </c>
      <c r="AK67" s="1">
        <f>IFERROR(Table2[[#This Row],[Protection_MA_PIN]]*$V67,)</f>
        <v>0</v>
      </c>
      <c r="AL67" s="1">
        <f>IFERROR(Table2[[#This Row],[Health_PIN]]*$W67,)</f>
        <v>0</v>
      </c>
      <c r="AM67" s="1">
        <f>IFERROR(Table2[[#This Row],[CCCM_PIN]]*$W67,)</f>
        <v>0</v>
      </c>
      <c r="AN67" s="1">
        <f>IFERROR(Table2[[#This Row],[ERL_PIN]]*$W67,)</f>
        <v>0</v>
      </c>
      <c r="AO67" s="1">
        <f>IFERROR(Table2[[#This Row],[NFI_PIN]]*$W67,)</f>
        <v>0</v>
      </c>
      <c r="AP67" s="1">
        <f>IFERROR(Table2[[#This Row],[Nutrition_PIN]]*$W67,)</f>
        <v>0</v>
      </c>
      <c r="AQ67" s="1">
        <f>IFERROR(Table2[[#This Row],[Education_PIN]]*$W67,)</f>
        <v>0</v>
      </c>
      <c r="AR67" s="1">
        <f>IFERROR(Table2[[#This Row],[Shelter_PIN]]*$W67,)</f>
        <v>0</v>
      </c>
      <c r="AS67" s="1">
        <f>IFERROR(Table2[[#This Row],[WASH_PIN]]*$W67,)</f>
        <v>0</v>
      </c>
      <c r="AT67" s="1">
        <f>IFERROR(Table2[[#This Row],[WASH_acute_PIN]]*$W67,)</f>
        <v>0</v>
      </c>
      <c r="AU67" s="1">
        <f>IFERROR(Table2[[#This Row],[Protection_PIN]]*$W67,)</f>
        <v>0</v>
      </c>
      <c r="AV67" s="1">
        <f>IFERROR(Table2[[#This Row],[Food_PIN]]*$W67,)</f>
        <v>0</v>
      </c>
      <c r="AW67" s="1">
        <f>IFERROR(Table2[[#This Row],[Protection_CP_PIN]]*$W67,)</f>
        <v>0</v>
      </c>
      <c r="AX67" s="1">
        <f>IFERROR(Table2[[#This Row],[Protection_GBV_PIN]]*$W67,)</f>
        <v>0</v>
      </c>
      <c r="AY67" s="1">
        <f>IFERROR(Table2[[#This Row],[Protection_MA_PIN]]*$W67,)</f>
        <v>0</v>
      </c>
      <c r="AZ67" s="1">
        <v>2</v>
      </c>
      <c r="BA67" s="1">
        <v>3</v>
      </c>
      <c r="BB67" s="1">
        <v>4</v>
      </c>
      <c r="BC67" s="1">
        <v>2</v>
      </c>
      <c r="BD67" s="1">
        <v>3</v>
      </c>
      <c r="BE67" s="1">
        <v>4</v>
      </c>
      <c r="BF67" s="1">
        <v>3</v>
      </c>
      <c r="BG67" s="1">
        <v>4</v>
      </c>
      <c r="BH67" s="1">
        <v>4</v>
      </c>
      <c r="BI67" s="1">
        <v>3</v>
      </c>
      <c r="BJ67" s="1">
        <v>3</v>
      </c>
      <c r="BK67" s="1" t="s">
        <v>665</v>
      </c>
      <c r="BL67" s="1">
        <v>4</v>
      </c>
    </row>
    <row r="68" spans="1:64" x14ac:dyDescent="0.35">
      <c r="A68" t="s">
        <v>168</v>
      </c>
      <c r="B68" t="s">
        <v>681</v>
      </c>
      <c r="C68" t="s">
        <v>169</v>
      </c>
      <c r="D68" t="s">
        <v>286</v>
      </c>
      <c r="E68" t="s">
        <v>744</v>
      </c>
      <c r="F68" t="s">
        <v>287</v>
      </c>
      <c r="G68" t="s">
        <v>286</v>
      </c>
      <c r="H68" s="1">
        <v>7708</v>
      </c>
      <c r="I68" s="1" t="s">
        <v>665</v>
      </c>
      <c r="J68" s="1">
        <v>10819</v>
      </c>
      <c r="K68" s="1">
        <v>0</v>
      </c>
      <c r="L68" s="1">
        <v>4020.9958093841333</v>
      </c>
      <c r="M68" s="1">
        <v>1931.7240847784169</v>
      </c>
      <c r="N68" s="1">
        <v>0</v>
      </c>
      <c r="O68" s="1">
        <v>5641.2615484457101</v>
      </c>
      <c r="P68" s="1">
        <v>1585</v>
      </c>
      <c r="Q68" s="1">
        <v>7708</v>
      </c>
      <c r="R68" s="1">
        <v>11562</v>
      </c>
      <c r="S68" s="1">
        <v>2525.1999999999998</v>
      </c>
      <c r="T68" s="1">
        <v>4174</v>
      </c>
      <c r="U68" s="1">
        <v>3560</v>
      </c>
      <c r="V68" s="3">
        <f>_xlfn.XLOOKUP(Table2[[#This Row],[admin3Pcode]],'Inter-sector dataset'!F:F,'Inter-sector dataset'!Q:Q)</f>
        <v>0</v>
      </c>
      <c r="W68" s="3">
        <f>_xlfn.XLOOKUP(Table2[[#This Row],[admin3Pcode]],'Inter-sector dataset'!F:F,'Inter-sector dataset'!R:R)</f>
        <v>0</v>
      </c>
      <c r="X68" s="1">
        <f>IFERROR(Table2[[#This Row],[Health_PIN]]*$V68,)</f>
        <v>0</v>
      </c>
      <c r="Y68" s="1">
        <f>IFERROR(Table2[[#This Row],[CCCM_PIN]]*$V68,)</f>
        <v>0</v>
      </c>
      <c r="Z68" s="1">
        <f>IFERROR(Table2[[#This Row],[ERL_PIN]]*$V68,)</f>
        <v>0</v>
      </c>
      <c r="AA68" s="1">
        <f>IFERROR(Table2[[#This Row],[NFI_PIN]]*$V68,)</f>
        <v>0</v>
      </c>
      <c r="AB68" s="1">
        <f>IFERROR(Table2[[#This Row],[Nutrition_PIN]]*$V68,)</f>
        <v>0</v>
      </c>
      <c r="AC68" s="1">
        <f>IFERROR(Table2[[#This Row],[Education_PIN]]*$V68,)</f>
        <v>0</v>
      </c>
      <c r="AD68" s="1">
        <f>IFERROR(Table2[[#This Row],[Shelter_PIN]]*$V68,)</f>
        <v>0</v>
      </c>
      <c r="AE68" s="1">
        <f>IFERROR(Table2[[#This Row],[WASH_PIN]]*$V68,)</f>
        <v>0</v>
      </c>
      <c r="AF68" s="1">
        <f>IFERROR(Table2[[#This Row],[WASH_acute_PIN]]*$V68,)</f>
        <v>0</v>
      </c>
      <c r="AG68" s="1">
        <f>IFERROR(Table2[[#This Row],[Protection_PIN]]*$V68,)</f>
        <v>0</v>
      </c>
      <c r="AH68" s="1">
        <f>IFERROR(Table2[[#This Row],[Food_PIN]]*$V68,)</f>
        <v>0</v>
      </c>
      <c r="AI68" s="1">
        <f>IFERROR(Table2[[#This Row],[Protection_CP_PIN]]*$V68,)</f>
        <v>0</v>
      </c>
      <c r="AJ68" s="1">
        <f>IFERROR(Table2[[#This Row],[Protection_GBV_PIN]]*$V68,)</f>
        <v>0</v>
      </c>
      <c r="AK68" s="1">
        <f>IFERROR(Table2[[#This Row],[Protection_MA_PIN]]*$V68,)</f>
        <v>0</v>
      </c>
      <c r="AL68" s="1">
        <f>IFERROR(Table2[[#This Row],[Health_PIN]]*$W68,)</f>
        <v>0</v>
      </c>
      <c r="AM68" s="1">
        <f>IFERROR(Table2[[#This Row],[CCCM_PIN]]*$W68,)</f>
        <v>0</v>
      </c>
      <c r="AN68" s="1">
        <f>IFERROR(Table2[[#This Row],[ERL_PIN]]*$W68,)</f>
        <v>0</v>
      </c>
      <c r="AO68" s="1">
        <f>IFERROR(Table2[[#This Row],[NFI_PIN]]*$W68,)</f>
        <v>0</v>
      </c>
      <c r="AP68" s="1">
        <f>IFERROR(Table2[[#This Row],[Nutrition_PIN]]*$W68,)</f>
        <v>0</v>
      </c>
      <c r="AQ68" s="1">
        <f>IFERROR(Table2[[#This Row],[Education_PIN]]*$W68,)</f>
        <v>0</v>
      </c>
      <c r="AR68" s="1">
        <f>IFERROR(Table2[[#This Row],[Shelter_PIN]]*$W68,)</f>
        <v>0</v>
      </c>
      <c r="AS68" s="1">
        <f>IFERROR(Table2[[#This Row],[WASH_PIN]]*$W68,)</f>
        <v>0</v>
      </c>
      <c r="AT68" s="1">
        <f>IFERROR(Table2[[#This Row],[WASH_acute_PIN]]*$W68,)</f>
        <v>0</v>
      </c>
      <c r="AU68" s="1">
        <f>IFERROR(Table2[[#This Row],[Protection_PIN]]*$W68,)</f>
        <v>0</v>
      </c>
      <c r="AV68" s="1">
        <f>IFERROR(Table2[[#This Row],[Food_PIN]]*$W68,)</f>
        <v>0</v>
      </c>
      <c r="AW68" s="1">
        <f>IFERROR(Table2[[#This Row],[Protection_CP_PIN]]*$W68,)</f>
        <v>0</v>
      </c>
      <c r="AX68" s="1">
        <f>IFERROR(Table2[[#This Row],[Protection_GBV_PIN]]*$W68,)</f>
        <v>0</v>
      </c>
      <c r="AY68" s="1">
        <f>IFERROR(Table2[[#This Row],[Protection_MA_PIN]]*$W68,)</f>
        <v>0</v>
      </c>
      <c r="AZ68" s="1">
        <v>1</v>
      </c>
      <c r="BA68" s="1">
        <v>3</v>
      </c>
      <c r="BB68" s="1">
        <v>4</v>
      </c>
      <c r="BC68" s="1">
        <v>1</v>
      </c>
      <c r="BD68" s="1">
        <v>3</v>
      </c>
      <c r="BE68" s="1">
        <v>3</v>
      </c>
      <c r="BF68" s="1">
        <v>3</v>
      </c>
      <c r="BG68" s="1">
        <v>3</v>
      </c>
      <c r="BH68" s="1">
        <v>3</v>
      </c>
      <c r="BI68" s="1">
        <v>3</v>
      </c>
      <c r="BJ68" s="1">
        <v>4</v>
      </c>
      <c r="BK68" s="1" t="s">
        <v>665</v>
      </c>
      <c r="BL68" s="1">
        <v>3</v>
      </c>
    </row>
    <row r="69" spans="1:64" x14ac:dyDescent="0.35">
      <c r="A69" t="s">
        <v>104</v>
      </c>
      <c r="B69" t="s">
        <v>677</v>
      </c>
      <c r="C69" t="s">
        <v>105</v>
      </c>
      <c r="D69" t="s">
        <v>108</v>
      </c>
      <c r="E69" t="s">
        <v>745</v>
      </c>
      <c r="F69" t="s">
        <v>109</v>
      </c>
      <c r="G69" t="s">
        <v>108</v>
      </c>
      <c r="H69" s="1">
        <v>7827</v>
      </c>
      <c r="I69" s="1" t="s">
        <v>665</v>
      </c>
      <c r="J69" s="1">
        <v>15198</v>
      </c>
      <c r="K69" s="1">
        <v>3939</v>
      </c>
      <c r="L69" s="1">
        <v>2827.7302680018856</v>
      </c>
      <c r="M69" s="1">
        <v>6081.6833333333334</v>
      </c>
      <c r="N69" s="1">
        <v>3131</v>
      </c>
      <c r="O69" s="1">
        <v>15207.983563096503</v>
      </c>
      <c r="P69" s="1">
        <v>7277</v>
      </c>
      <c r="Q69" s="1">
        <v>7827</v>
      </c>
      <c r="R69" s="1">
        <v>10745.542372881357</v>
      </c>
      <c r="S69" s="1">
        <v>2936.4000000000005</v>
      </c>
      <c r="T69" s="1">
        <v>7336</v>
      </c>
      <c r="U69" s="1">
        <v>15654</v>
      </c>
      <c r="V69" s="3">
        <f>_xlfn.XLOOKUP(Table2[[#This Row],[admin3Pcode]],'Inter-sector dataset'!F:F,'Inter-sector dataset'!Q:Q)</f>
        <v>0</v>
      </c>
      <c r="W69" s="3">
        <f>_xlfn.XLOOKUP(Table2[[#This Row],[admin3Pcode]],'Inter-sector dataset'!F:F,'Inter-sector dataset'!R:R)</f>
        <v>0</v>
      </c>
      <c r="X69" s="1">
        <f>IFERROR(Table2[[#This Row],[Health_PIN]]*$V69,)</f>
        <v>0</v>
      </c>
      <c r="Y69" s="1">
        <f>IFERROR(Table2[[#This Row],[CCCM_PIN]]*$V69,)</f>
        <v>0</v>
      </c>
      <c r="Z69" s="1">
        <f>IFERROR(Table2[[#This Row],[ERL_PIN]]*$V69,)</f>
        <v>0</v>
      </c>
      <c r="AA69" s="1">
        <f>IFERROR(Table2[[#This Row],[NFI_PIN]]*$V69,)</f>
        <v>0</v>
      </c>
      <c r="AB69" s="1">
        <f>IFERROR(Table2[[#This Row],[Nutrition_PIN]]*$V69,)</f>
        <v>0</v>
      </c>
      <c r="AC69" s="1">
        <f>IFERROR(Table2[[#This Row],[Education_PIN]]*$V69,)</f>
        <v>0</v>
      </c>
      <c r="AD69" s="1">
        <f>IFERROR(Table2[[#This Row],[Shelter_PIN]]*$V69,)</f>
        <v>0</v>
      </c>
      <c r="AE69" s="1">
        <f>IFERROR(Table2[[#This Row],[WASH_PIN]]*$V69,)</f>
        <v>0</v>
      </c>
      <c r="AF69" s="1">
        <f>IFERROR(Table2[[#This Row],[WASH_acute_PIN]]*$V69,)</f>
        <v>0</v>
      </c>
      <c r="AG69" s="1">
        <f>IFERROR(Table2[[#This Row],[Protection_PIN]]*$V69,)</f>
        <v>0</v>
      </c>
      <c r="AH69" s="1">
        <f>IFERROR(Table2[[#This Row],[Food_PIN]]*$V69,)</f>
        <v>0</v>
      </c>
      <c r="AI69" s="1">
        <f>IFERROR(Table2[[#This Row],[Protection_CP_PIN]]*$V69,)</f>
        <v>0</v>
      </c>
      <c r="AJ69" s="1">
        <f>IFERROR(Table2[[#This Row],[Protection_GBV_PIN]]*$V69,)</f>
        <v>0</v>
      </c>
      <c r="AK69" s="1">
        <f>IFERROR(Table2[[#This Row],[Protection_MA_PIN]]*$V69,)</f>
        <v>0</v>
      </c>
      <c r="AL69" s="1">
        <f>IFERROR(Table2[[#This Row],[Health_PIN]]*$W69,)</f>
        <v>0</v>
      </c>
      <c r="AM69" s="1">
        <f>IFERROR(Table2[[#This Row],[CCCM_PIN]]*$W69,)</f>
        <v>0</v>
      </c>
      <c r="AN69" s="1">
        <f>IFERROR(Table2[[#This Row],[ERL_PIN]]*$W69,)</f>
        <v>0</v>
      </c>
      <c r="AO69" s="1">
        <f>IFERROR(Table2[[#This Row],[NFI_PIN]]*$W69,)</f>
        <v>0</v>
      </c>
      <c r="AP69" s="1">
        <f>IFERROR(Table2[[#This Row],[Nutrition_PIN]]*$W69,)</f>
        <v>0</v>
      </c>
      <c r="AQ69" s="1">
        <f>IFERROR(Table2[[#This Row],[Education_PIN]]*$W69,)</f>
        <v>0</v>
      </c>
      <c r="AR69" s="1">
        <f>IFERROR(Table2[[#This Row],[Shelter_PIN]]*$W69,)</f>
        <v>0</v>
      </c>
      <c r="AS69" s="1">
        <f>IFERROR(Table2[[#This Row],[WASH_PIN]]*$W69,)</f>
        <v>0</v>
      </c>
      <c r="AT69" s="1">
        <f>IFERROR(Table2[[#This Row],[WASH_acute_PIN]]*$W69,)</f>
        <v>0</v>
      </c>
      <c r="AU69" s="1">
        <f>IFERROR(Table2[[#This Row],[Protection_PIN]]*$W69,)</f>
        <v>0</v>
      </c>
      <c r="AV69" s="1">
        <f>IFERROR(Table2[[#This Row],[Food_PIN]]*$W69,)</f>
        <v>0</v>
      </c>
      <c r="AW69" s="1">
        <f>IFERROR(Table2[[#This Row],[Protection_CP_PIN]]*$W69,)</f>
        <v>0</v>
      </c>
      <c r="AX69" s="1">
        <f>IFERROR(Table2[[#This Row],[Protection_GBV_PIN]]*$W69,)</f>
        <v>0</v>
      </c>
      <c r="AY69" s="1">
        <f>IFERROR(Table2[[#This Row],[Protection_MA_PIN]]*$W69,)</f>
        <v>0</v>
      </c>
      <c r="AZ69" s="1">
        <v>2</v>
      </c>
      <c r="BA69" s="1">
        <v>3</v>
      </c>
      <c r="BB69" s="1">
        <v>3</v>
      </c>
      <c r="BC69" s="1">
        <v>3</v>
      </c>
      <c r="BD69" s="1">
        <v>4</v>
      </c>
      <c r="BE69" s="1">
        <v>3</v>
      </c>
      <c r="BF69" s="1">
        <v>3</v>
      </c>
      <c r="BG69" s="1">
        <v>3</v>
      </c>
      <c r="BH69" s="1">
        <v>5</v>
      </c>
      <c r="BI69" s="1">
        <v>3</v>
      </c>
      <c r="BJ69" s="1">
        <v>4</v>
      </c>
      <c r="BK69" s="1" t="s">
        <v>665</v>
      </c>
      <c r="BL69" s="1">
        <v>4</v>
      </c>
    </row>
    <row r="70" spans="1:64" x14ac:dyDescent="0.35">
      <c r="A70" t="s">
        <v>54</v>
      </c>
      <c r="B70" t="s">
        <v>709</v>
      </c>
      <c r="C70" t="s">
        <v>55</v>
      </c>
      <c r="D70" t="s">
        <v>58</v>
      </c>
      <c r="E70" t="s">
        <v>746</v>
      </c>
      <c r="F70" t="s">
        <v>59</v>
      </c>
      <c r="G70" t="s">
        <v>58</v>
      </c>
      <c r="H70" s="1">
        <v>11970.75</v>
      </c>
      <c r="I70" s="1" t="s">
        <v>665</v>
      </c>
      <c r="J70" s="1">
        <v>1705</v>
      </c>
      <c r="K70" s="1">
        <v>9</v>
      </c>
      <c r="L70" s="1">
        <v>5008.7841174558616</v>
      </c>
      <c r="M70" s="1">
        <v>2545.3984809973326</v>
      </c>
      <c r="N70" s="1">
        <v>3192</v>
      </c>
      <c r="O70" s="1">
        <v>553.32414617785139</v>
      </c>
      <c r="P70" s="1">
        <v>0</v>
      </c>
      <c r="Q70" s="1">
        <v>7981</v>
      </c>
      <c r="R70" s="1">
        <v>15961</v>
      </c>
      <c r="S70" s="1">
        <v>2350.8000000000002</v>
      </c>
      <c r="T70" s="1">
        <v>2654</v>
      </c>
      <c r="U70" s="1">
        <v>14053</v>
      </c>
      <c r="V70" s="3">
        <f>_xlfn.XLOOKUP(Table2[[#This Row],[admin3Pcode]],'Inter-sector dataset'!F:F,'Inter-sector dataset'!Q:Q)</f>
        <v>0</v>
      </c>
      <c r="W70" s="3">
        <f>_xlfn.XLOOKUP(Table2[[#This Row],[admin3Pcode]],'Inter-sector dataset'!F:F,'Inter-sector dataset'!R:R)</f>
        <v>0</v>
      </c>
      <c r="X70" s="1">
        <f>IFERROR(Table2[[#This Row],[Health_PIN]]*$V70,)</f>
        <v>0</v>
      </c>
      <c r="Y70" s="1">
        <f>IFERROR(Table2[[#This Row],[CCCM_PIN]]*$V70,)</f>
        <v>0</v>
      </c>
      <c r="Z70" s="1">
        <f>IFERROR(Table2[[#This Row],[ERL_PIN]]*$V70,)</f>
        <v>0</v>
      </c>
      <c r="AA70" s="1">
        <f>IFERROR(Table2[[#This Row],[NFI_PIN]]*$V70,)</f>
        <v>0</v>
      </c>
      <c r="AB70" s="1">
        <f>IFERROR(Table2[[#This Row],[Nutrition_PIN]]*$V70,)</f>
        <v>0</v>
      </c>
      <c r="AC70" s="1">
        <f>IFERROR(Table2[[#This Row],[Education_PIN]]*$V70,)</f>
        <v>0</v>
      </c>
      <c r="AD70" s="1">
        <f>IFERROR(Table2[[#This Row],[Shelter_PIN]]*$V70,)</f>
        <v>0</v>
      </c>
      <c r="AE70" s="1">
        <f>IFERROR(Table2[[#This Row],[WASH_PIN]]*$V70,)</f>
        <v>0</v>
      </c>
      <c r="AF70" s="1">
        <f>IFERROR(Table2[[#This Row],[WASH_acute_PIN]]*$V70,)</f>
        <v>0</v>
      </c>
      <c r="AG70" s="1">
        <f>IFERROR(Table2[[#This Row],[Protection_PIN]]*$V70,)</f>
        <v>0</v>
      </c>
      <c r="AH70" s="1">
        <f>IFERROR(Table2[[#This Row],[Food_PIN]]*$V70,)</f>
        <v>0</v>
      </c>
      <c r="AI70" s="1">
        <f>IFERROR(Table2[[#This Row],[Protection_CP_PIN]]*$V70,)</f>
        <v>0</v>
      </c>
      <c r="AJ70" s="1">
        <f>IFERROR(Table2[[#This Row],[Protection_GBV_PIN]]*$V70,)</f>
        <v>0</v>
      </c>
      <c r="AK70" s="1">
        <f>IFERROR(Table2[[#This Row],[Protection_MA_PIN]]*$V70,)</f>
        <v>0</v>
      </c>
      <c r="AL70" s="1">
        <f>IFERROR(Table2[[#This Row],[Health_PIN]]*$W70,)</f>
        <v>0</v>
      </c>
      <c r="AM70" s="1">
        <f>IFERROR(Table2[[#This Row],[CCCM_PIN]]*$W70,)</f>
        <v>0</v>
      </c>
      <c r="AN70" s="1">
        <f>IFERROR(Table2[[#This Row],[ERL_PIN]]*$W70,)</f>
        <v>0</v>
      </c>
      <c r="AO70" s="1">
        <f>IFERROR(Table2[[#This Row],[NFI_PIN]]*$W70,)</f>
        <v>0</v>
      </c>
      <c r="AP70" s="1">
        <f>IFERROR(Table2[[#This Row],[Nutrition_PIN]]*$W70,)</f>
        <v>0</v>
      </c>
      <c r="AQ70" s="1">
        <f>IFERROR(Table2[[#This Row],[Education_PIN]]*$W70,)</f>
        <v>0</v>
      </c>
      <c r="AR70" s="1">
        <f>IFERROR(Table2[[#This Row],[Shelter_PIN]]*$W70,)</f>
        <v>0</v>
      </c>
      <c r="AS70" s="1">
        <f>IFERROR(Table2[[#This Row],[WASH_PIN]]*$W70,)</f>
        <v>0</v>
      </c>
      <c r="AT70" s="1">
        <f>IFERROR(Table2[[#This Row],[WASH_acute_PIN]]*$W70,)</f>
        <v>0</v>
      </c>
      <c r="AU70" s="1">
        <f>IFERROR(Table2[[#This Row],[Protection_PIN]]*$W70,)</f>
        <v>0</v>
      </c>
      <c r="AV70" s="1">
        <f>IFERROR(Table2[[#This Row],[Food_PIN]]*$W70,)</f>
        <v>0</v>
      </c>
      <c r="AW70" s="1">
        <f>IFERROR(Table2[[#This Row],[Protection_CP_PIN]]*$W70,)</f>
        <v>0</v>
      </c>
      <c r="AX70" s="1">
        <f>IFERROR(Table2[[#This Row],[Protection_GBV_PIN]]*$W70,)</f>
        <v>0</v>
      </c>
      <c r="AY70" s="1">
        <f>IFERROR(Table2[[#This Row],[Protection_MA_PIN]]*$W70,)</f>
        <v>0</v>
      </c>
      <c r="AZ70" s="1">
        <v>2</v>
      </c>
      <c r="BA70" s="1">
        <v>4</v>
      </c>
      <c r="BB70" s="1">
        <v>3</v>
      </c>
      <c r="BC70" s="1">
        <v>3</v>
      </c>
      <c r="BD70" s="1">
        <v>2</v>
      </c>
      <c r="BE70" s="1">
        <v>4</v>
      </c>
      <c r="BF70" s="1">
        <v>3</v>
      </c>
      <c r="BG70" s="1">
        <v>3</v>
      </c>
      <c r="BH70" s="1">
        <v>2</v>
      </c>
      <c r="BI70" s="1">
        <v>3</v>
      </c>
      <c r="BJ70" s="1">
        <v>4</v>
      </c>
      <c r="BK70" s="1" t="s">
        <v>665</v>
      </c>
      <c r="BL70" s="1">
        <v>2</v>
      </c>
    </row>
    <row r="71" spans="1:64" x14ac:dyDescent="0.35">
      <c r="A71" t="s">
        <v>12</v>
      </c>
      <c r="B71" t="s">
        <v>673</v>
      </c>
      <c r="C71" t="s">
        <v>13</v>
      </c>
      <c r="D71" t="s">
        <v>144</v>
      </c>
      <c r="E71" t="s">
        <v>747</v>
      </c>
      <c r="F71" t="s">
        <v>145</v>
      </c>
      <c r="G71" t="s">
        <v>144</v>
      </c>
      <c r="H71" s="1">
        <v>8093.5</v>
      </c>
      <c r="I71" s="1" t="s">
        <v>665</v>
      </c>
      <c r="J71" s="1">
        <v>9043</v>
      </c>
      <c r="K71" s="1">
        <v>1859</v>
      </c>
      <c r="L71" s="1">
        <v>3375.0607441616371</v>
      </c>
      <c r="M71" s="1">
        <v>3833.15</v>
      </c>
      <c r="N71" s="1">
        <v>982</v>
      </c>
      <c r="O71" s="1">
        <v>8959.5959928102366</v>
      </c>
      <c r="P71" s="1">
        <v>423</v>
      </c>
      <c r="Q71" s="1">
        <v>8094</v>
      </c>
      <c r="R71" s="1">
        <v>7329.9622641509432</v>
      </c>
      <c r="S71" s="1">
        <v>1906</v>
      </c>
      <c r="T71" s="1">
        <v>2682</v>
      </c>
      <c r="U71" s="1" t="s">
        <v>665</v>
      </c>
      <c r="V71" s="3">
        <f>_xlfn.XLOOKUP(Table2[[#This Row],[admin3Pcode]],'Inter-sector dataset'!F:F,'Inter-sector dataset'!Q:Q)</f>
        <v>0</v>
      </c>
      <c r="W71" s="3">
        <f>_xlfn.XLOOKUP(Table2[[#This Row],[admin3Pcode]],'Inter-sector dataset'!F:F,'Inter-sector dataset'!R:R)</f>
        <v>0</v>
      </c>
      <c r="X71" s="1">
        <f>IFERROR(Table2[[#This Row],[Health_PIN]]*$V71,)</f>
        <v>0</v>
      </c>
      <c r="Y71" s="1">
        <f>IFERROR(Table2[[#This Row],[CCCM_PIN]]*$V71,)</f>
        <v>0</v>
      </c>
      <c r="Z71" s="1">
        <f>IFERROR(Table2[[#This Row],[ERL_PIN]]*$V71,)</f>
        <v>0</v>
      </c>
      <c r="AA71" s="1">
        <f>IFERROR(Table2[[#This Row],[NFI_PIN]]*$V71,)</f>
        <v>0</v>
      </c>
      <c r="AB71" s="1">
        <f>IFERROR(Table2[[#This Row],[Nutrition_PIN]]*$V71,)</f>
        <v>0</v>
      </c>
      <c r="AC71" s="1">
        <f>IFERROR(Table2[[#This Row],[Education_PIN]]*$V71,)</f>
        <v>0</v>
      </c>
      <c r="AD71" s="1">
        <f>IFERROR(Table2[[#This Row],[Shelter_PIN]]*$V71,)</f>
        <v>0</v>
      </c>
      <c r="AE71" s="1">
        <f>IFERROR(Table2[[#This Row],[WASH_PIN]]*$V71,)</f>
        <v>0</v>
      </c>
      <c r="AF71" s="1">
        <f>IFERROR(Table2[[#This Row],[WASH_acute_PIN]]*$V71,)</f>
        <v>0</v>
      </c>
      <c r="AG71" s="1">
        <f>IFERROR(Table2[[#This Row],[Protection_PIN]]*$V71,)</f>
        <v>0</v>
      </c>
      <c r="AH71" s="1">
        <f>IFERROR(Table2[[#This Row],[Food_PIN]]*$V71,)</f>
        <v>0</v>
      </c>
      <c r="AI71" s="1">
        <f>IFERROR(Table2[[#This Row],[Protection_CP_PIN]]*$V71,)</f>
        <v>0</v>
      </c>
      <c r="AJ71" s="1">
        <f>IFERROR(Table2[[#This Row],[Protection_GBV_PIN]]*$V71,)</f>
        <v>0</v>
      </c>
      <c r="AK71" s="1">
        <f>IFERROR(Table2[[#This Row],[Protection_MA_PIN]]*$V71,)</f>
        <v>0</v>
      </c>
      <c r="AL71" s="1">
        <f>IFERROR(Table2[[#This Row],[Health_PIN]]*$W71,)</f>
        <v>0</v>
      </c>
      <c r="AM71" s="1">
        <f>IFERROR(Table2[[#This Row],[CCCM_PIN]]*$W71,)</f>
        <v>0</v>
      </c>
      <c r="AN71" s="1">
        <f>IFERROR(Table2[[#This Row],[ERL_PIN]]*$W71,)</f>
        <v>0</v>
      </c>
      <c r="AO71" s="1">
        <f>IFERROR(Table2[[#This Row],[NFI_PIN]]*$W71,)</f>
        <v>0</v>
      </c>
      <c r="AP71" s="1">
        <f>IFERROR(Table2[[#This Row],[Nutrition_PIN]]*$W71,)</f>
        <v>0</v>
      </c>
      <c r="AQ71" s="1">
        <f>IFERROR(Table2[[#This Row],[Education_PIN]]*$W71,)</f>
        <v>0</v>
      </c>
      <c r="AR71" s="1">
        <f>IFERROR(Table2[[#This Row],[Shelter_PIN]]*$W71,)</f>
        <v>0</v>
      </c>
      <c r="AS71" s="1">
        <f>IFERROR(Table2[[#This Row],[WASH_PIN]]*$W71,)</f>
        <v>0</v>
      </c>
      <c r="AT71" s="1">
        <f>IFERROR(Table2[[#This Row],[WASH_acute_PIN]]*$W71,)</f>
        <v>0</v>
      </c>
      <c r="AU71" s="1">
        <f>IFERROR(Table2[[#This Row],[Protection_PIN]]*$W71,)</f>
        <v>0</v>
      </c>
      <c r="AV71" s="1">
        <f>IFERROR(Table2[[#This Row],[Food_PIN]]*$W71,)</f>
        <v>0</v>
      </c>
      <c r="AW71" s="1">
        <f>IFERROR(Table2[[#This Row],[Protection_CP_PIN]]*$W71,)</f>
        <v>0</v>
      </c>
      <c r="AX71" s="1">
        <f>IFERROR(Table2[[#This Row],[Protection_GBV_PIN]]*$W71,)</f>
        <v>0</v>
      </c>
      <c r="AY71" s="1">
        <f>IFERROR(Table2[[#This Row],[Protection_MA_PIN]]*$W71,)</f>
        <v>0</v>
      </c>
      <c r="AZ71" s="1">
        <v>3</v>
      </c>
      <c r="BA71" s="1">
        <v>3</v>
      </c>
      <c r="BB71" s="1">
        <v>4</v>
      </c>
      <c r="BC71" s="1">
        <v>3</v>
      </c>
      <c r="BD71" s="1">
        <v>3</v>
      </c>
      <c r="BE71" s="1">
        <v>3</v>
      </c>
      <c r="BF71" s="1">
        <v>3</v>
      </c>
      <c r="BG71" s="1">
        <v>3</v>
      </c>
      <c r="BH71" s="1">
        <v>2</v>
      </c>
      <c r="BI71" s="1">
        <v>3</v>
      </c>
      <c r="BJ71" s="1">
        <v>3</v>
      </c>
      <c r="BK71" s="1" t="s">
        <v>665</v>
      </c>
      <c r="BL71" s="1">
        <v>3</v>
      </c>
    </row>
    <row r="72" spans="1:64" x14ac:dyDescent="0.35">
      <c r="A72" t="s">
        <v>157</v>
      </c>
      <c r="B72" t="s">
        <v>748</v>
      </c>
      <c r="C72" t="s">
        <v>158</v>
      </c>
      <c r="D72" t="s">
        <v>354</v>
      </c>
      <c r="E72" t="s">
        <v>749</v>
      </c>
      <c r="F72" t="s">
        <v>355</v>
      </c>
      <c r="G72" t="s">
        <v>354</v>
      </c>
      <c r="H72" s="1">
        <v>12441</v>
      </c>
      <c r="I72" s="1" t="s">
        <v>665</v>
      </c>
      <c r="J72" s="1">
        <v>7545</v>
      </c>
      <c r="K72" s="1">
        <v>1713</v>
      </c>
      <c r="L72" s="1">
        <v>6728.329882059038</v>
      </c>
      <c r="M72" s="1">
        <v>2320.0300772972555</v>
      </c>
      <c r="N72" s="1">
        <v>1713</v>
      </c>
      <c r="O72" s="1">
        <v>8269.6652605993786</v>
      </c>
      <c r="P72" s="1">
        <v>1371</v>
      </c>
      <c r="Q72" s="1">
        <v>8294</v>
      </c>
      <c r="R72" s="1">
        <v>11652.727272727272</v>
      </c>
      <c r="S72" s="1">
        <v>3271.2</v>
      </c>
      <c r="T72" s="1">
        <v>5058</v>
      </c>
      <c r="U72" s="1">
        <v>15618</v>
      </c>
      <c r="V72" s="3">
        <f>_xlfn.XLOOKUP(Table2[[#This Row],[admin3Pcode]],'Inter-sector dataset'!F:F,'Inter-sector dataset'!Q:Q)</f>
        <v>0</v>
      </c>
      <c r="W72" s="3">
        <f>_xlfn.XLOOKUP(Table2[[#This Row],[admin3Pcode]],'Inter-sector dataset'!F:F,'Inter-sector dataset'!R:R)</f>
        <v>0</v>
      </c>
      <c r="X72" s="1">
        <f>IFERROR(Table2[[#This Row],[Health_PIN]]*$V72,)</f>
        <v>0</v>
      </c>
      <c r="Y72" s="1">
        <f>IFERROR(Table2[[#This Row],[CCCM_PIN]]*$V72,)</f>
        <v>0</v>
      </c>
      <c r="Z72" s="1">
        <f>IFERROR(Table2[[#This Row],[ERL_PIN]]*$V72,)</f>
        <v>0</v>
      </c>
      <c r="AA72" s="1">
        <f>IFERROR(Table2[[#This Row],[NFI_PIN]]*$V72,)</f>
        <v>0</v>
      </c>
      <c r="AB72" s="1">
        <f>IFERROR(Table2[[#This Row],[Nutrition_PIN]]*$V72,)</f>
        <v>0</v>
      </c>
      <c r="AC72" s="1">
        <f>IFERROR(Table2[[#This Row],[Education_PIN]]*$V72,)</f>
        <v>0</v>
      </c>
      <c r="AD72" s="1">
        <f>IFERROR(Table2[[#This Row],[Shelter_PIN]]*$V72,)</f>
        <v>0</v>
      </c>
      <c r="AE72" s="1">
        <f>IFERROR(Table2[[#This Row],[WASH_PIN]]*$V72,)</f>
        <v>0</v>
      </c>
      <c r="AF72" s="1">
        <f>IFERROR(Table2[[#This Row],[WASH_acute_PIN]]*$V72,)</f>
        <v>0</v>
      </c>
      <c r="AG72" s="1">
        <f>IFERROR(Table2[[#This Row],[Protection_PIN]]*$V72,)</f>
        <v>0</v>
      </c>
      <c r="AH72" s="1">
        <f>IFERROR(Table2[[#This Row],[Food_PIN]]*$V72,)</f>
        <v>0</v>
      </c>
      <c r="AI72" s="1">
        <f>IFERROR(Table2[[#This Row],[Protection_CP_PIN]]*$V72,)</f>
        <v>0</v>
      </c>
      <c r="AJ72" s="1">
        <f>IFERROR(Table2[[#This Row],[Protection_GBV_PIN]]*$V72,)</f>
        <v>0</v>
      </c>
      <c r="AK72" s="1">
        <f>IFERROR(Table2[[#This Row],[Protection_MA_PIN]]*$V72,)</f>
        <v>0</v>
      </c>
      <c r="AL72" s="1">
        <f>IFERROR(Table2[[#This Row],[Health_PIN]]*$W72,)</f>
        <v>0</v>
      </c>
      <c r="AM72" s="1">
        <f>IFERROR(Table2[[#This Row],[CCCM_PIN]]*$W72,)</f>
        <v>0</v>
      </c>
      <c r="AN72" s="1">
        <f>IFERROR(Table2[[#This Row],[ERL_PIN]]*$W72,)</f>
        <v>0</v>
      </c>
      <c r="AO72" s="1">
        <f>IFERROR(Table2[[#This Row],[NFI_PIN]]*$W72,)</f>
        <v>0</v>
      </c>
      <c r="AP72" s="1">
        <f>IFERROR(Table2[[#This Row],[Nutrition_PIN]]*$W72,)</f>
        <v>0</v>
      </c>
      <c r="AQ72" s="1">
        <f>IFERROR(Table2[[#This Row],[Education_PIN]]*$W72,)</f>
        <v>0</v>
      </c>
      <c r="AR72" s="1">
        <f>IFERROR(Table2[[#This Row],[Shelter_PIN]]*$W72,)</f>
        <v>0</v>
      </c>
      <c r="AS72" s="1">
        <f>IFERROR(Table2[[#This Row],[WASH_PIN]]*$W72,)</f>
        <v>0</v>
      </c>
      <c r="AT72" s="1">
        <f>IFERROR(Table2[[#This Row],[WASH_acute_PIN]]*$W72,)</f>
        <v>0</v>
      </c>
      <c r="AU72" s="1">
        <f>IFERROR(Table2[[#This Row],[Protection_PIN]]*$W72,)</f>
        <v>0</v>
      </c>
      <c r="AV72" s="1">
        <f>IFERROR(Table2[[#This Row],[Food_PIN]]*$W72,)</f>
        <v>0</v>
      </c>
      <c r="AW72" s="1">
        <f>IFERROR(Table2[[#This Row],[Protection_CP_PIN]]*$W72,)</f>
        <v>0</v>
      </c>
      <c r="AX72" s="1">
        <f>IFERROR(Table2[[#This Row],[Protection_GBV_PIN]]*$W72,)</f>
        <v>0</v>
      </c>
      <c r="AY72" s="1">
        <f>IFERROR(Table2[[#This Row],[Protection_MA_PIN]]*$W72,)</f>
        <v>0</v>
      </c>
      <c r="AZ72" s="1">
        <v>2</v>
      </c>
      <c r="BA72" s="1">
        <v>4</v>
      </c>
      <c r="BB72" s="1">
        <v>4</v>
      </c>
      <c r="BC72" s="1">
        <v>2</v>
      </c>
      <c r="BD72" s="1">
        <v>3</v>
      </c>
      <c r="BE72" s="1">
        <v>4</v>
      </c>
      <c r="BF72" s="1">
        <v>3</v>
      </c>
      <c r="BG72" s="1">
        <v>3</v>
      </c>
      <c r="BH72" s="1">
        <v>3</v>
      </c>
      <c r="BI72" s="1">
        <v>3</v>
      </c>
      <c r="BJ72" s="1">
        <v>4</v>
      </c>
      <c r="BK72" s="1" t="s">
        <v>665</v>
      </c>
      <c r="BL72" s="1">
        <v>3</v>
      </c>
    </row>
    <row r="73" spans="1:64" x14ac:dyDescent="0.35">
      <c r="A73" t="s">
        <v>6</v>
      </c>
      <c r="B73" t="s">
        <v>667</v>
      </c>
      <c r="C73" t="s">
        <v>7</v>
      </c>
      <c r="D73" t="s">
        <v>72</v>
      </c>
      <c r="E73" t="s">
        <v>750</v>
      </c>
      <c r="F73" t="s">
        <v>73</v>
      </c>
      <c r="G73" t="s">
        <v>72</v>
      </c>
      <c r="H73" s="1">
        <v>8346</v>
      </c>
      <c r="I73" s="1" t="s">
        <v>665</v>
      </c>
      <c r="J73" s="1">
        <v>15104</v>
      </c>
      <c r="K73" s="1">
        <v>2593</v>
      </c>
      <c r="L73" s="1">
        <v>3495.4739130054268</v>
      </c>
      <c r="M73" s="1">
        <v>5911.7</v>
      </c>
      <c r="N73" s="1">
        <v>488</v>
      </c>
      <c r="O73" s="1">
        <v>7556.0406683431438</v>
      </c>
      <c r="P73" s="1">
        <v>0</v>
      </c>
      <c r="Q73" s="1">
        <v>8346</v>
      </c>
      <c r="R73" s="1">
        <v>8964.2222222222226</v>
      </c>
      <c r="S73" s="1">
        <v>4322.1000000000004</v>
      </c>
      <c r="T73" s="1">
        <v>2695</v>
      </c>
      <c r="U73" s="1" t="s">
        <v>665</v>
      </c>
      <c r="V73" s="3">
        <f>_xlfn.XLOOKUP(Table2[[#This Row],[admin3Pcode]],'Inter-sector dataset'!F:F,'Inter-sector dataset'!Q:Q)</f>
        <v>0</v>
      </c>
      <c r="W73" s="3">
        <f>_xlfn.XLOOKUP(Table2[[#This Row],[admin3Pcode]],'Inter-sector dataset'!F:F,'Inter-sector dataset'!R:R)</f>
        <v>0</v>
      </c>
      <c r="X73" s="1">
        <f>IFERROR(Table2[[#This Row],[Health_PIN]]*$V73,)</f>
        <v>0</v>
      </c>
      <c r="Y73" s="1">
        <f>IFERROR(Table2[[#This Row],[CCCM_PIN]]*$V73,)</f>
        <v>0</v>
      </c>
      <c r="Z73" s="1">
        <f>IFERROR(Table2[[#This Row],[ERL_PIN]]*$V73,)</f>
        <v>0</v>
      </c>
      <c r="AA73" s="1">
        <f>IFERROR(Table2[[#This Row],[NFI_PIN]]*$V73,)</f>
        <v>0</v>
      </c>
      <c r="AB73" s="1">
        <f>IFERROR(Table2[[#This Row],[Nutrition_PIN]]*$V73,)</f>
        <v>0</v>
      </c>
      <c r="AC73" s="1">
        <f>IFERROR(Table2[[#This Row],[Education_PIN]]*$V73,)</f>
        <v>0</v>
      </c>
      <c r="AD73" s="1">
        <f>IFERROR(Table2[[#This Row],[Shelter_PIN]]*$V73,)</f>
        <v>0</v>
      </c>
      <c r="AE73" s="1">
        <f>IFERROR(Table2[[#This Row],[WASH_PIN]]*$V73,)</f>
        <v>0</v>
      </c>
      <c r="AF73" s="1">
        <f>IFERROR(Table2[[#This Row],[WASH_acute_PIN]]*$V73,)</f>
        <v>0</v>
      </c>
      <c r="AG73" s="1">
        <f>IFERROR(Table2[[#This Row],[Protection_PIN]]*$V73,)</f>
        <v>0</v>
      </c>
      <c r="AH73" s="1">
        <f>IFERROR(Table2[[#This Row],[Food_PIN]]*$V73,)</f>
        <v>0</v>
      </c>
      <c r="AI73" s="1">
        <f>IFERROR(Table2[[#This Row],[Protection_CP_PIN]]*$V73,)</f>
        <v>0</v>
      </c>
      <c r="AJ73" s="1">
        <f>IFERROR(Table2[[#This Row],[Protection_GBV_PIN]]*$V73,)</f>
        <v>0</v>
      </c>
      <c r="AK73" s="1">
        <f>IFERROR(Table2[[#This Row],[Protection_MA_PIN]]*$V73,)</f>
        <v>0</v>
      </c>
      <c r="AL73" s="1">
        <f>IFERROR(Table2[[#This Row],[Health_PIN]]*$W73,)</f>
        <v>0</v>
      </c>
      <c r="AM73" s="1">
        <f>IFERROR(Table2[[#This Row],[CCCM_PIN]]*$W73,)</f>
        <v>0</v>
      </c>
      <c r="AN73" s="1">
        <f>IFERROR(Table2[[#This Row],[ERL_PIN]]*$W73,)</f>
        <v>0</v>
      </c>
      <c r="AO73" s="1">
        <f>IFERROR(Table2[[#This Row],[NFI_PIN]]*$W73,)</f>
        <v>0</v>
      </c>
      <c r="AP73" s="1">
        <f>IFERROR(Table2[[#This Row],[Nutrition_PIN]]*$W73,)</f>
        <v>0</v>
      </c>
      <c r="AQ73" s="1">
        <f>IFERROR(Table2[[#This Row],[Education_PIN]]*$W73,)</f>
        <v>0</v>
      </c>
      <c r="AR73" s="1">
        <f>IFERROR(Table2[[#This Row],[Shelter_PIN]]*$W73,)</f>
        <v>0</v>
      </c>
      <c r="AS73" s="1">
        <f>IFERROR(Table2[[#This Row],[WASH_PIN]]*$W73,)</f>
        <v>0</v>
      </c>
      <c r="AT73" s="1">
        <f>IFERROR(Table2[[#This Row],[WASH_acute_PIN]]*$W73,)</f>
        <v>0</v>
      </c>
      <c r="AU73" s="1">
        <f>IFERROR(Table2[[#This Row],[Protection_PIN]]*$W73,)</f>
        <v>0</v>
      </c>
      <c r="AV73" s="1">
        <f>IFERROR(Table2[[#This Row],[Food_PIN]]*$W73,)</f>
        <v>0</v>
      </c>
      <c r="AW73" s="1">
        <f>IFERROR(Table2[[#This Row],[Protection_CP_PIN]]*$W73,)</f>
        <v>0</v>
      </c>
      <c r="AX73" s="1">
        <f>IFERROR(Table2[[#This Row],[Protection_GBV_PIN]]*$W73,)</f>
        <v>0</v>
      </c>
      <c r="AY73" s="1">
        <f>IFERROR(Table2[[#This Row],[Protection_MA_PIN]]*$W73,)</f>
        <v>0</v>
      </c>
      <c r="AZ73" s="1">
        <v>2</v>
      </c>
      <c r="BA73" s="1">
        <v>3</v>
      </c>
      <c r="BB73" s="1">
        <v>4</v>
      </c>
      <c r="BC73" s="1">
        <v>2</v>
      </c>
      <c r="BD73" s="1">
        <v>3</v>
      </c>
      <c r="BE73" s="1">
        <v>3</v>
      </c>
      <c r="BF73" s="1">
        <v>3</v>
      </c>
      <c r="BG73" s="1">
        <v>4</v>
      </c>
      <c r="BH73" s="1">
        <v>2</v>
      </c>
      <c r="BI73" s="1">
        <v>3</v>
      </c>
      <c r="BJ73" s="1">
        <v>3</v>
      </c>
      <c r="BK73" s="1" t="s">
        <v>665</v>
      </c>
      <c r="BL73" s="1">
        <v>3</v>
      </c>
    </row>
    <row r="74" spans="1:64" x14ac:dyDescent="0.35">
      <c r="A74" t="s">
        <v>168</v>
      </c>
      <c r="B74" t="s">
        <v>681</v>
      </c>
      <c r="C74" t="s">
        <v>169</v>
      </c>
      <c r="D74" t="s">
        <v>324</v>
      </c>
      <c r="E74" t="s">
        <v>751</v>
      </c>
      <c r="F74" t="s">
        <v>325</v>
      </c>
      <c r="G74" t="s">
        <v>324</v>
      </c>
      <c r="H74" s="1">
        <v>0</v>
      </c>
      <c r="I74" s="1" t="s">
        <v>665</v>
      </c>
      <c r="J74" s="1">
        <v>14153</v>
      </c>
      <c r="K74" s="1">
        <v>0</v>
      </c>
      <c r="L74" s="1">
        <v>4253.4078832165796</v>
      </c>
      <c r="M74" s="1">
        <v>2304.594870509035</v>
      </c>
      <c r="N74" s="1">
        <v>0</v>
      </c>
      <c r="O74" s="1">
        <v>4512.5099553224554</v>
      </c>
      <c r="P74" s="1">
        <v>2239</v>
      </c>
      <c r="Q74" s="1">
        <v>8582</v>
      </c>
      <c r="R74" s="1">
        <v>3019.5925925925926</v>
      </c>
      <c r="S74" s="1">
        <v>2628.8</v>
      </c>
      <c r="T74" s="1">
        <v>4871</v>
      </c>
      <c r="U74" s="1">
        <v>1730</v>
      </c>
      <c r="V74" s="3">
        <f>_xlfn.XLOOKUP(Table2[[#This Row],[admin3Pcode]],'Inter-sector dataset'!F:F,'Inter-sector dataset'!Q:Q)</f>
        <v>0</v>
      </c>
      <c r="W74" s="3">
        <f>_xlfn.XLOOKUP(Table2[[#This Row],[admin3Pcode]],'Inter-sector dataset'!F:F,'Inter-sector dataset'!R:R)</f>
        <v>0</v>
      </c>
      <c r="X74" s="1">
        <f>IFERROR(Table2[[#This Row],[Health_PIN]]*$V74,)</f>
        <v>0</v>
      </c>
      <c r="Y74" s="1">
        <f>IFERROR(Table2[[#This Row],[CCCM_PIN]]*$V74,)</f>
        <v>0</v>
      </c>
      <c r="Z74" s="1">
        <f>IFERROR(Table2[[#This Row],[ERL_PIN]]*$V74,)</f>
        <v>0</v>
      </c>
      <c r="AA74" s="1">
        <f>IFERROR(Table2[[#This Row],[NFI_PIN]]*$V74,)</f>
        <v>0</v>
      </c>
      <c r="AB74" s="1">
        <f>IFERROR(Table2[[#This Row],[Nutrition_PIN]]*$V74,)</f>
        <v>0</v>
      </c>
      <c r="AC74" s="1">
        <f>IFERROR(Table2[[#This Row],[Education_PIN]]*$V74,)</f>
        <v>0</v>
      </c>
      <c r="AD74" s="1">
        <f>IFERROR(Table2[[#This Row],[Shelter_PIN]]*$V74,)</f>
        <v>0</v>
      </c>
      <c r="AE74" s="1">
        <f>IFERROR(Table2[[#This Row],[WASH_PIN]]*$V74,)</f>
        <v>0</v>
      </c>
      <c r="AF74" s="1">
        <f>IFERROR(Table2[[#This Row],[WASH_acute_PIN]]*$V74,)</f>
        <v>0</v>
      </c>
      <c r="AG74" s="1">
        <f>IFERROR(Table2[[#This Row],[Protection_PIN]]*$V74,)</f>
        <v>0</v>
      </c>
      <c r="AH74" s="1">
        <f>IFERROR(Table2[[#This Row],[Food_PIN]]*$V74,)</f>
        <v>0</v>
      </c>
      <c r="AI74" s="1">
        <f>IFERROR(Table2[[#This Row],[Protection_CP_PIN]]*$V74,)</f>
        <v>0</v>
      </c>
      <c r="AJ74" s="1">
        <f>IFERROR(Table2[[#This Row],[Protection_GBV_PIN]]*$V74,)</f>
        <v>0</v>
      </c>
      <c r="AK74" s="1">
        <f>IFERROR(Table2[[#This Row],[Protection_MA_PIN]]*$V74,)</f>
        <v>0</v>
      </c>
      <c r="AL74" s="1">
        <f>IFERROR(Table2[[#This Row],[Health_PIN]]*$W74,)</f>
        <v>0</v>
      </c>
      <c r="AM74" s="1">
        <f>IFERROR(Table2[[#This Row],[CCCM_PIN]]*$W74,)</f>
        <v>0</v>
      </c>
      <c r="AN74" s="1">
        <f>IFERROR(Table2[[#This Row],[ERL_PIN]]*$W74,)</f>
        <v>0</v>
      </c>
      <c r="AO74" s="1">
        <f>IFERROR(Table2[[#This Row],[NFI_PIN]]*$W74,)</f>
        <v>0</v>
      </c>
      <c r="AP74" s="1">
        <f>IFERROR(Table2[[#This Row],[Nutrition_PIN]]*$W74,)</f>
        <v>0</v>
      </c>
      <c r="AQ74" s="1">
        <f>IFERROR(Table2[[#This Row],[Education_PIN]]*$W74,)</f>
        <v>0</v>
      </c>
      <c r="AR74" s="1">
        <f>IFERROR(Table2[[#This Row],[Shelter_PIN]]*$W74,)</f>
        <v>0</v>
      </c>
      <c r="AS74" s="1">
        <f>IFERROR(Table2[[#This Row],[WASH_PIN]]*$W74,)</f>
        <v>0</v>
      </c>
      <c r="AT74" s="1">
        <f>IFERROR(Table2[[#This Row],[WASH_acute_PIN]]*$W74,)</f>
        <v>0</v>
      </c>
      <c r="AU74" s="1">
        <f>IFERROR(Table2[[#This Row],[Protection_PIN]]*$W74,)</f>
        <v>0</v>
      </c>
      <c r="AV74" s="1">
        <f>IFERROR(Table2[[#This Row],[Food_PIN]]*$W74,)</f>
        <v>0</v>
      </c>
      <c r="AW74" s="1">
        <f>IFERROR(Table2[[#This Row],[Protection_CP_PIN]]*$W74,)</f>
        <v>0</v>
      </c>
      <c r="AX74" s="1">
        <f>IFERROR(Table2[[#This Row],[Protection_GBV_PIN]]*$W74,)</f>
        <v>0</v>
      </c>
      <c r="AY74" s="1">
        <f>IFERROR(Table2[[#This Row],[Protection_MA_PIN]]*$W74,)</f>
        <v>0</v>
      </c>
      <c r="AZ74" s="1">
        <v>1</v>
      </c>
      <c r="BA74" s="1">
        <v>3</v>
      </c>
      <c r="BB74" s="1">
        <v>5</v>
      </c>
      <c r="BC74" s="1">
        <v>1</v>
      </c>
      <c r="BD74" s="1">
        <v>3</v>
      </c>
      <c r="BE74" s="1">
        <v>2</v>
      </c>
      <c r="BF74" s="1">
        <v>3</v>
      </c>
      <c r="BG74" s="1">
        <v>3</v>
      </c>
      <c r="BH74" s="1">
        <v>3</v>
      </c>
      <c r="BI74" s="1">
        <v>3</v>
      </c>
      <c r="BJ74" s="1">
        <v>3</v>
      </c>
      <c r="BK74" s="1" t="s">
        <v>665</v>
      </c>
      <c r="BL74" s="1">
        <v>3</v>
      </c>
    </row>
    <row r="75" spans="1:64" x14ac:dyDescent="0.35">
      <c r="A75" t="s">
        <v>12</v>
      </c>
      <c r="B75" t="s">
        <v>673</v>
      </c>
      <c r="C75" t="s">
        <v>13</v>
      </c>
      <c r="D75" t="s">
        <v>60</v>
      </c>
      <c r="E75" t="s">
        <v>752</v>
      </c>
      <c r="F75" t="s">
        <v>61</v>
      </c>
      <c r="G75" t="s">
        <v>60</v>
      </c>
      <c r="H75" s="1">
        <v>8968</v>
      </c>
      <c r="I75" s="1" t="s">
        <v>665</v>
      </c>
      <c r="J75" s="1">
        <v>17242</v>
      </c>
      <c r="K75" s="1">
        <v>3587</v>
      </c>
      <c r="L75" s="1">
        <v>3964.9347198607761</v>
      </c>
      <c r="M75" s="1">
        <v>9056.1333333333332</v>
      </c>
      <c r="N75" s="1">
        <v>0</v>
      </c>
      <c r="O75" s="1">
        <v>454.77180273056547</v>
      </c>
      <c r="P75" s="1">
        <v>0</v>
      </c>
      <c r="Q75" s="1">
        <v>8968</v>
      </c>
      <c r="R75" s="1">
        <v>13822.238532110092</v>
      </c>
      <c r="S75" s="1">
        <v>3105.2</v>
      </c>
      <c r="T75" s="1">
        <v>2929</v>
      </c>
      <c r="U75" s="1" t="s">
        <v>665</v>
      </c>
      <c r="V75" s="3">
        <f>_xlfn.XLOOKUP(Table2[[#This Row],[admin3Pcode]],'Inter-sector dataset'!F:F,'Inter-sector dataset'!Q:Q)</f>
        <v>0</v>
      </c>
      <c r="W75" s="3">
        <f>_xlfn.XLOOKUP(Table2[[#This Row],[admin3Pcode]],'Inter-sector dataset'!F:F,'Inter-sector dataset'!R:R)</f>
        <v>0</v>
      </c>
      <c r="X75" s="1">
        <f>IFERROR(Table2[[#This Row],[Health_PIN]]*$V75,)</f>
        <v>0</v>
      </c>
      <c r="Y75" s="1">
        <f>IFERROR(Table2[[#This Row],[CCCM_PIN]]*$V75,)</f>
        <v>0</v>
      </c>
      <c r="Z75" s="1">
        <f>IFERROR(Table2[[#This Row],[ERL_PIN]]*$V75,)</f>
        <v>0</v>
      </c>
      <c r="AA75" s="1">
        <f>IFERROR(Table2[[#This Row],[NFI_PIN]]*$V75,)</f>
        <v>0</v>
      </c>
      <c r="AB75" s="1">
        <f>IFERROR(Table2[[#This Row],[Nutrition_PIN]]*$V75,)</f>
        <v>0</v>
      </c>
      <c r="AC75" s="1">
        <f>IFERROR(Table2[[#This Row],[Education_PIN]]*$V75,)</f>
        <v>0</v>
      </c>
      <c r="AD75" s="1">
        <f>IFERROR(Table2[[#This Row],[Shelter_PIN]]*$V75,)</f>
        <v>0</v>
      </c>
      <c r="AE75" s="1">
        <f>IFERROR(Table2[[#This Row],[WASH_PIN]]*$V75,)</f>
        <v>0</v>
      </c>
      <c r="AF75" s="1">
        <f>IFERROR(Table2[[#This Row],[WASH_acute_PIN]]*$V75,)</f>
        <v>0</v>
      </c>
      <c r="AG75" s="1">
        <f>IFERROR(Table2[[#This Row],[Protection_PIN]]*$V75,)</f>
        <v>0</v>
      </c>
      <c r="AH75" s="1">
        <f>IFERROR(Table2[[#This Row],[Food_PIN]]*$V75,)</f>
        <v>0</v>
      </c>
      <c r="AI75" s="1">
        <f>IFERROR(Table2[[#This Row],[Protection_CP_PIN]]*$V75,)</f>
        <v>0</v>
      </c>
      <c r="AJ75" s="1">
        <f>IFERROR(Table2[[#This Row],[Protection_GBV_PIN]]*$V75,)</f>
        <v>0</v>
      </c>
      <c r="AK75" s="1">
        <f>IFERROR(Table2[[#This Row],[Protection_MA_PIN]]*$V75,)</f>
        <v>0</v>
      </c>
      <c r="AL75" s="1">
        <f>IFERROR(Table2[[#This Row],[Health_PIN]]*$W75,)</f>
        <v>0</v>
      </c>
      <c r="AM75" s="1">
        <f>IFERROR(Table2[[#This Row],[CCCM_PIN]]*$W75,)</f>
        <v>0</v>
      </c>
      <c r="AN75" s="1">
        <f>IFERROR(Table2[[#This Row],[ERL_PIN]]*$W75,)</f>
        <v>0</v>
      </c>
      <c r="AO75" s="1">
        <f>IFERROR(Table2[[#This Row],[NFI_PIN]]*$W75,)</f>
        <v>0</v>
      </c>
      <c r="AP75" s="1">
        <f>IFERROR(Table2[[#This Row],[Nutrition_PIN]]*$W75,)</f>
        <v>0</v>
      </c>
      <c r="AQ75" s="1">
        <f>IFERROR(Table2[[#This Row],[Education_PIN]]*$W75,)</f>
        <v>0</v>
      </c>
      <c r="AR75" s="1">
        <f>IFERROR(Table2[[#This Row],[Shelter_PIN]]*$W75,)</f>
        <v>0</v>
      </c>
      <c r="AS75" s="1">
        <f>IFERROR(Table2[[#This Row],[WASH_PIN]]*$W75,)</f>
        <v>0</v>
      </c>
      <c r="AT75" s="1">
        <f>IFERROR(Table2[[#This Row],[WASH_acute_PIN]]*$W75,)</f>
        <v>0</v>
      </c>
      <c r="AU75" s="1">
        <f>IFERROR(Table2[[#This Row],[Protection_PIN]]*$W75,)</f>
        <v>0</v>
      </c>
      <c r="AV75" s="1">
        <f>IFERROR(Table2[[#This Row],[Food_PIN]]*$W75,)</f>
        <v>0</v>
      </c>
      <c r="AW75" s="1">
        <f>IFERROR(Table2[[#This Row],[Protection_CP_PIN]]*$W75,)</f>
        <v>0</v>
      </c>
      <c r="AX75" s="1">
        <f>IFERROR(Table2[[#This Row],[Protection_GBV_PIN]]*$W75,)</f>
        <v>0</v>
      </c>
      <c r="AY75" s="1">
        <f>IFERROR(Table2[[#This Row],[Protection_MA_PIN]]*$W75,)</f>
        <v>0</v>
      </c>
      <c r="AZ75" s="1">
        <v>1</v>
      </c>
      <c r="BA75" s="1">
        <v>4</v>
      </c>
      <c r="BB75" s="1">
        <v>4</v>
      </c>
      <c r="BC75" s="1">
        <v>2</v>
      </c>
      <c r="BD75" s="1">
        <v>3</v>
      </c>
      <c r="BE75" s="1">
        <v>3</v>
      </c>
      <c r="BF75" s="1">
        <v>3</v>
      </c>
      <c r="BG75" s="1">
        <v>3</v>
      </c>
      <c r="BH75" s="1">
        <v>2</v>
      </c>
      <c r="BI75" s="1">
        <v>3</v>
      </c>
      <c r="BJ75" s="1">
        <v>4</v>
      </c>
      <c r="BK75" s="1" t="s">
        <v>665</v>
      </c>
      <c r="BL75" s="1">
        <v>2</v>
      </c>
    </row>
    <row r="76" spans="1:64" x14ac:dyDescent="0.35">
      <c r="A76" t="s">
        <v>12</v>
      </c>
      <c r="B76" t="s">
        <v>673</v>
      </c>
      <c r="C76" t="s">
        <v>13</v>
      </c>
      <c r="D76" t="s">
        <v>76</v>
      </c>
      <c r="E76" t="s">
        <v>753</v>
      </c>
      <c r="F76" t="s">
        <v>77</v>
      </c>
      <c r="G76" t="s">
        <v>76</v>
      </c>
      <c r="H76" s="1">
        <v>0</v>
      </c>
      <c r="I76" s="1" t="s">
        <v>665</v>
      </c>
      <c r="J76" s="1">
        <v>10798</v>
      </c>
      <c r="K76" s="1">
        <v>3701</v>
      </c>
      <c r="L76" s="1">
        <v>3683.0867639373851</v>
      </c>
      <c r="M76" s="1">
        <v>979.40514622104115</v>
      </c>
      <c r="N76" s="1">
        <v>235</v>
      </c>
      <c r="O76" s="1">
        <v>3856.6676805638167</v>
      </c>
      <c r="P76" s="1">
        <v>505</v>
      </c>
      <c r="Q76" s="1">
        <v>9252</v>
      </c>
      <c r="R76" s="1">
        <v>14219.898148148148</v>
      </c>
      <c r="S76" s="1">
        <v>2166</v>
      </c>
      <c r="T76" s="1">
        <v>3076</v>
      </c>
      <c r="U76" s="1" t="s">
        <v>665</v>
      </c>
      <c r="V76" s="3">
        <f>_xlfn.XLOOKUP(Table2[[#This Row],[admin3Pcode]],'Inter-sector dataset'!F:F,'Inter-sector dataset'!Q:Q)</f>
        <v>0</v>
      </c>
      <c r="W76" s="3">
        <f>_xlfn.XLOOKUP(Table2[[#This Row],[admin3Pcode]],'Inter-sector dataset'!F:F,'Inter-sector dataset'!R:R)</f>
        <v>0</v>
      </c>
      <c r="X76" s="1">
        <f>IFERROR(Table2[[#This Row],[Health_PIN]]*$V76,)</f>
        <v>0</v>
      </c>
      <c r="Y76" s="1">
        <f>IFERROR(Table2[[#This Row],[CCCM_PIN]]*$V76,)</f>
        <v>0</v>
      </c>
      <c r="Z76" s="1">
        <f>IFERROR(Table2[[#This Row],[ERL_PIN]]*$V76,)</f>
        <v>0</v>
      </c>
      <c r="AA76" s="1">
        <f>IFERROR(Table2[[#This Row],[NFI_PIN]]*$V76,)</f>
        <v>0</v>
      </c>
      <c r="AB76" s="1">
        <f>IFERROR(Table2[[#This Row],[Nutrition_PIN]]*$V76,)</f>
        <v>0</v>
      </c>
      <c r="AC76" s="1">
        <f>IFERROR(Table2[[#This Row],[Education_PIN]]*$V76,)</f>
        <v>0</v>
      </c>
      <c r="AD76" s="1">
        <f>IFERROR(Table2[[#This Row],[Shelter_PIN]]*$V76,)</f>
        <v>0</v>
      </c>
      <c r="AE76" s="1">
        <f>IFERROR(Table2[[#This Row],[WASH_PIN]]*$V76,)</f>
        <v>0</v>
      </c>
      <c r="AF76" s="1">
        <f>IFERROR(Table2[[#This Row],[WASH_acute_PIN]]*$V76,)</f>
        <v>0</v>
      </c>
      <c r="AG76" s="1">
        <f>IFERROR(Table2[[#This Row],[Protection_PIN]]*$V76,)</f>
        <v>0</v>
      </c>
      <c r="AH76" s="1">
        <f>IFERROR(Table2[[#This Row],[Food_PIN]]*$V76,)</f>
        <v>0</v>
      </c>
      <c r="AI76" s="1">
        <f>IFERROR(Table2[[#This Row],[Protection_CP_PIN]]*$V76,)</f>
        <v>0</v>
      </c>
      <c r="AJ76" s="1">
        <f>IFERROR(Table2[[#This Row],[Protection_GBV_PIN]]*$V76,)</f>
        <v>0</v>
      </c>
      <c r="AK76" s="1">
        <f>IFERROR(Table2[[#This Row],[Protection_MA_PIN]]*$V76,)</f>
        <v>0</v>
      </c>
      <c r="AL76" s="1">
        <f>IFERROR(Table2[[#This Row],[Health_PIN]]*$W76,)</f>
        <v>0</v>
      </c>
      <c r="AM76" s="1">
        <f>IFERROR(Table2[[#This Row],[CCCM_PIN]]*$W76,)</f>
        <v>0</v>
      </c>
      <c r="AN76" s="1">
        <f>IFERROR(Table2[[#This Row],[ERL_PIN]]*$W76,)</f>
        <v>0</v>
      </c>
      <c r="AO76" s="1">
        <f>IFERROR(Table2[[#This Row],[NFI_PIN]]*$W76,)</f>
        <v>0</v>
      </c>
      <c r="AP76" s="1">
        <f>IFERROR(Table2[[#This Row],[Nutrition_PIN]]*$W76,)</f>
        <v>0</v>
      </c>
      <c r="AQ76" s="1">
        <f>IFERROR(Table2[[#This Row],[Education_PIN]]*$W76,)</f>
        <v>0</v>
      </c>
      <c r="AR76" s="1">
        <f>IFERROR(Table2[[#This Row],[Shelter_PIN]]*$W76,)</f>
        <v>0</v>
      </c>
      <c r="AS76" s="1">
        <f>IFERROR(Table2[[#This Row],[WASH_PIN]]*$W76,)</f>
        <v>0</v>
      </c>
      <c r="AT76" s="1">
        <f>IFERROR(Table2[[#This Row],[WASH_acute_PIN]]*$W76,)</f>
        <v>0</v>
      </c>
      <c r="AU76" s="1">
        <f>IFERROR(Table2[[#This Row],[Protection_PIN]]*$W76,)</f>
        <v>0</v>
      </c>
      <c r="AV76" s="1">
        <f>IFERROR(Table2[[#This Row],[Food_PIN]]*$W76,)</f>
        <v>0</v>
      </c>
      <c r="AW76" s="1">
        <f>IFERROR(Table2[[#This Row],[Protection_CP_PIN]]*$W76,)</f>
        <v>0</v>
      </c>
      <c r="AX76" s="1">
        <f>IFERROR(Table2[[#This Row],[Protection_GBV_PIN]]*$W76,)</f>
        <v>0</v>
      </c>
      <c r="AY76" s="1">
        <f>IFERROR(Table2[[#This Row],[Protection_MA_PIN]]*$W76,)</f>
        <v>0</v>
      </c>
      <c r="AZ76" s="1">
        <v>2</v>
      </c>
      <c r="BA76" s="1">
        <v>3</v>
      </c>
      <c r="BB76" s="1">
        <v>4</v>
      </c>
      <c r="BC76" s="1">
        <v>2</v>
      </c>
      <c r="BD76" s="1">
        <v>3</v>
      </c>
      <c r="BE76" s="1">
        <v>2</v>
      </c>
      <c r="BF76" s="1">
        <v>3</v>
      </c>
      <c r="BG76" s="1">
        <v>3</v>
      </c>
      <c r="BH76" s="1">
        <v>2</v>
      </c>
      <c r="BI76" s="1">
        <v>3</v>
      </c>
      <c r="BJ76" s="1">
        <v>4</v>
      </c>
      <c r="BK76" s="1" t="s">
        <v>665</v>
      </c>
      <c r="BL76" s="1">
        <v>2</v>
      </c>
    </row>
    <row r="77" spans="1:64" x14ac:dyDescent="0.35">
      <c r="A77" t="s">
        <v>168</v>
      </c>
      <c r="B77" t="s">
        <v>681</v>
      </c>
      <c r="C77" t="s">
        <v>169</v>
      </c>
      <c r="D77" t="s">
        <v>235</v>
      </c>
      <c r="E77" t="s">
        <v>754</v>
      </c>
      <c r="F77" t="s">
        <v>236</v>
      </c>
      <c r="G77" t="s">
        <v>235</v>
      </c>
      <c r="H77" s="1">
        <v>0</v>
      </c>
      <c r="I77" s="1" t="s">
        <v>665</v>
      </c>
      <c r="J77" s="1">
        <v>15933</v>
      </c>
      <c r="K77" s="1">
        <v>40</v>
      </c>
      <c r="L77" s="1">
        <v>3889.2966228570399</v>
      </c>
      <c r="M77" s="1">
        <v>1102.9502020202035</v>
      </c>
      <c r="N77" s="1">
        <v>3762</v>
      </c>
      <c r="O77" s="1">
        <v>118.7915162454874</v>
      </c>
      <c r="P77" s="1">
        <v>0</v>
      </c>
      <c r="Q77" s="1">
        <v>9402</v>
      </c>
      <c r="R77" s="1">
        <v>14798.657407407409</v>
      </c>
      <c r="S77" s="1">
        <v>3507.6000000000004</v>
      </c>
      <c r="T77" s="1">
        <v>4735</v>
      </c>
      <c r="U77" s="1">
        <v>14970</v>
      </c>
      <c r="V77" s="3">
        <f>_xlfn.XLOOKUP(Table2[[#This Row],[admin3Pcode]],'Inter-sector dataset'!F:F,'Inter-sector dataset'!Q:Q)</f>
        <v>0</v>
      </c>
      <c r="W77" s="3">
        <f>_xlfn.XLOOKUP(Table2[[#This Row],[admin3Pcode]],'Inter-sector dataset'!F:F,'Inter-sector dataset'!R:R)</f>
        <v>0</v>
      </c>
      <c r="X77" s="1">
        <f>IFERROR(Table2[[#This Row],[Health_PIN]]*$V77,)</f>
        <v>0</v>
      </c>
      <c r="Y77" s="1">
        <f>IFERROR(Table2[[#This Row],[CCCM_PIN]]*$V77,)</f>
        <v>0</v>
      </c>
      <c r="Z77" s="1">
        <f>IFERROR(Table2[[#This Row],[ERL_PIN]]*$V77,)</f>
        <v>0</v>
      </c>
      <c r="AA77" s="1">
        <f>IFERROR(Table2[[#This Row],[NFI_PIN]]*$V77,)</f>
        <v>0</v>
      </c>
      <c r="AB77" s="1">
        <f>IFERROR(Table2[[#This Row],[Nutrition_PIN]]*$V77,)</f>
        <v>0</v>
      </c>
      <c r="AC77" s="1">
        <f>IFERROR(Table2[[#This Row],[Education_PIN]]*$V77,)</f>
        <v>0</v>
      </c>
      <c r="AD77" s="1">
        <f>IFERROR(Table2[[#This Row],[Shelter_PIN]]*$V77,)</f>
        <v>0</v>
      </c>
      <c r="AE77" s="1">
        <f>IFERROR(Table2[[#This Row],[WASH_PIN]]*$V77,)</f>
        <v>0</v>
      </c>
      <c r="AF77" s="1">
        <f>IFERROR(Table2[[#This Row],[WASH_acute_PIN]]*$V77,)</f>
        <v>0</v>
      </c>
      <c r="AG77" s="1">
        <f>IFERROR(Table2[[#This Row],[Protection_PIN]]*$V77,)</f>
        <v>0</v>
      </c>
      <c r="AH77" s="1">
        <f>IFERROR(Table2[[#This Row],[Food_PIN]]*$V77,)</f>
        <v>0</v>
      </c>
      <c r="AI77" s="1">
        <f>IFERROR(Table2[[#This Row],[Protection_CP_PIN]]*$V77,)</f>
        <v>0</v>
      </c>
      <c r="AJ77" s="1">
        <f>IFERROR(Table2[[#This Row],[Protection_GBV_PIN]]*$V77,)</f>
        <v>0</v>
      </c>
      <c r="AK77" s="1">
        <f>IFERROR(Table2[[#This Row],[Protection_MA_PIN]]*$V77,)</f>
        <v>0</v>
      </c>
      <c r="AL77" s="1">
        <f>IFERROR(Table2[[#This Row],[Health_PIN]]*$W77,)</f>
        <v>0</v>
      </c>
      <c r="AM77" s="1">
        <f>IFERROR(Table2[[#This Row],[CCCM_PIN]]*$W77,)</f>
        <v>0</v>
      </c>
      <c r="AN77" s="1">
        <f>IFERROR(Table2[[#This Row],[ERL_PIN]]*$W77,)</f>
        <v>0</v>
      </c>
      <c r="AO77" s="1">
        <f>IFERROR(Table2[[#This Row],[NFI_PIN]]*$W77,)</f>
        <v>0</v>
      </c>
      <c r="AP77" s="1">
        <f>IFERROR(Table2[[#This Row],[Nutrition_PIN]]*$W77,)</f>
        <v>0</v>
      </c>
      <c r="AQ77" s="1">
        <f>IFERROR(Table2[[#This Row],[Education_PIN]]*$W77,)</f>
        <v>0</v>
      </c>
      <c r="AR77" s="1">
        <f>IFERROR(Table2[[#This Row],[Shelter_PIN]]*$W77,)</f>
        <v>0</v>
      </c>
      <c r="AS77" s="1">
        <f>IFERROR(Table2[[#This Row],[WASH_PIN]]*$W77,)</f>
        <v>0</v>
      </c>
      <c r="AT77" s="1">
        <f>IFERROR(Table2[[#This Row],[WASH_acute_PIN]]*$W77,)</f>
        <v>0</v>
      </c>
      <c r="AU77" s="1">
        <f>IFERROR(Table2[[#This Row],[Protection_PIN]]*$W77,)</f>
        <v>0</v>
      </c>
      <c r="AV77" s="1">
        <f>IFERROR(Table2[[#This Row],[Food_PIN]]*$W77,)</f>
        <v>0</v>
      </c>
      <c r="AW77" s="1">
        <f>IFERROR(Table2[[#This Row],[Protection_CP_PIN]]*$W77,)</f>
        <v>0</v>
      </c>
      <c r="AX77" s="1">
        <f>IFERROR(Table2[[#This Row],[Protection_GBV_PIN]]*$W77,)</f>
        <v>0</v>
      </c>
      <c r="AY77" s="1">
        <f>IFERROR(Table2[[#This Row],[Protection_MA_PIN]]*$W77,)</f>
        <v>0</v>
      </c>
      <c r="AZ77" s="1">
        <v>3</v>
      </c>
      <c r="BA77" s="1">
        <v>1</v>
      </c>
      <c r="BB77" s="1">
        <v>4</v>
      </c>
      <c r="BC77" s="1">
        <v>2</v>
      </c>
      <c r="BD77" s="1">
        <v>3</v>
      </c>
      <c r="BE77" s="1">
        <v>2</v>
      </c>
      <c r="BF77" s="1">
        <v>3</v>
      </c>
      <c r="BG77" s="1">
        <v>3</v>
      </c>
      <c r="BH77" s="1">
        <v>3</v>
      </c>
      <c r="BI77" s="1">
        <v>3</v>
      </c>
      <c r="BJ77" s="1">
        <v>4</v>
      </c>
      <c r="BK77" s="1" t="s">
        <v>665</v>
      </c>
      <c r="BL77" s="1">
        <v>1</v>
      </c>
    </row>
    <row r="78" spans="1:64" x14ac:dyDescent="0.35">
      <c r="A78" t="s">
        <v>6</v>
      </c>
      <c r="B78" t="s">
        <v>667</v>
      </c>
      <c r="C78" t="s">
        <v>7</v>
      </c>
      <c r="D78" t="s">
        <v>99</v>
      </c>
      <c r="E78" t="s">
        <v>755</v>
      </c>
      <c r="F78" t="s">
        <v>100</v>
      </c>
      <c r="G78" t="s">
        <v>99</v>
      </c>
      <c r="H78" s="1">
        <v>10342</v>
      </c>
      <c r="I78" s="1" t="s">
        <v>665</v>
      </c>
      <c r="J78" s="1">
        <v>18834</v>
      </c>
      <c r="K78" s="1">
        <v>3237</v>
      </c>
      <c r="L78" s="1">
        <v>4947.5873947022901</v>
      </c>
      <c r="M78" s="1">
        <v>7180.6333333333332</v>
      </c>
      <c r="N78" s="1">
        <v>126</v>
      </c>
      <c r="O78" s="1">
        <v>6630.6565685457399</v>
      </c>
      <c r="P78" s="1">
        <v>0</v>
      </c>
      <c r="Q78" s="1">
        <v>10342</v>
      </c>
      <c r="R78" s="1">
        <v>12257.185185185186</v>
      </c>
      <c r="S78" s="1">
        <v>3734.8</v>
      </c>
      <c r="T78" s="1">
        <v>3296</v>
      </c>
      <c r="U78" s="1" t="s">
        <v>665</v>
      </c>
      <c r="V78" s="3">
        <f>_xlfn.XLOOKUP(Table2[[#This Row],[admin3Pcode]],'Inter-sector dataset'!F:F,'Inter-sector dataset'!Q:Q)</f>
        <v>0</v>
      </c>
      <c r="W78" s="3">
        <f>_xlfn.XLOOKUP(Table2[[#This Row],[admin3Pcode]],'Inter-sector dataset'!F:F,'Inter-sector dataset'!R:R)</f>
        <v>0</v>
      </c>
      <c r="X78" s="1">
        <f>IFERROR(Table2[[#This Row],[Health_PIN]]*$V78,)</f>
        <v>0</v>
      </c>
      <c r="Y78" s="1">
        <f>IFERROR(Table2[[#This Row],[CCCM_PIN]]*$V78,)</f>
        <v>0</v>
      </c>
      <c r="Z78" s="1">
        <f>IFERROR(Table2[[#This Row],[ERL_PIN]]*$V78,)</f>
        <v>0</v>
      </c>
      <c r="AA78" s="1">
        <f>IFERROR(Table2[[#This Row],[NFI_PIN]]*$V78,)</f>
        <v>0</v>
      </c>
      <c r="AB78" s="1">
        <f>IFERROR(Table2[[#This Row],[Nutrition_PIN]]*$V78,)</f>
        <v>0</v>
      </c>
      <c r="AC78" s="1">
        <f>IFERROR(Table2[[#This Row],[Education_PIN]]*$V78,)</f>
        <v>0</v>
      </c>
      <c r="AD78" s="1">
        <f>IFERROR(Table2[[#This Row],[Shelter_PIN]]*$V78,)</f>
        <v>0</v>
      </c>
      <c r="AE78" s="1">
        <f>IFERROR(Table2[[#This Row],[WASH_PIN]]*$V78,)</f>
        <v>0</v>
      </c>
      <c r="AF78" s="1">
        <f>IFERROR(Table2[[#This Row],[WASH_acute_PIN]]*$V78,)</f>
        <v>0</v>
      </c>
      <c r="AG78" s="1">
        <f>IFERROR(Table2[[#This Row],[Protection_PIN]]*$V78,)</f>
        <v>0</v>
      </c>
      <c r="AH78" s="1">
        <f>IFERROR(Table2[[#This Row],[Food_PIN]]*$V78,)</f>
        <v>0</v>
      </c>
      <c r="AI78" s="1">
        <f>IFERROR(Table2[[#This Row],[Protection_CP_PIN]]*$V78,)</f>
        <v>0</v>
      </c>
      <c r="AJ78" s="1">
        <f>IFERROR(Table2[[#This Row],[Protection_GBV_PIN]]*$V78,)</f>
        <v>0</v>
      </c>
      <c r="AK78" s="1">
        <f>IFERROR(Table2[[#This Row],[Protection_MA_PIN]]*$V78,)</f>
        <v>0</v>
      </c>
      <c r="AL78" s="1">
        <f>IFERROR(Table2[[#This Row],[Health_PIN]]*$W78,)</f>
        <v>0</v>
      </c>
      <c r="AM78" s="1">
        <f>IFERROR(Table2[[#This Row],[CCCM_PIN]]*$W78,)</f>
        <v>0</v>
      </c>
      <c r="AN78" s="1">
        <f>IFERROR(Table2[[#This Row],[ERL_PIN]]*$W78,)</f>
        <v>0</v>
      </c>
      <c r="AO78" s="1">
        <f>IFERROR(Table2[[#This Row],[NFI_PIN]]*$W78,)</f>
        <v>0</v>
      </c>
      <c r="AP78" s="1">
        <f>IFERROR(Table2[[#This Row],[Nutrition_PIN]]*$W78,)</f>
        <v>0</v>
      </c>
      <c r="AQ78" s="1">
        <f>IFERROR(Table2[[#This Row],[Education_PIN]]*$W78,)</f>
        <v>0</v>
      </c>
      <c r="AR78" s="1">
        <f>IFERROR(Table2[[#This Row],[Shelter_PIN]]*$W78,)</f>
        <v>0</v>
      </c>
      <c r="AS78" s="1">
        <f>IFERROR(Table2[[#This Row],[WASH_PIN]]*$W78,)</f>
        <v>0</v>
      </c>
      <c r="AT78" s="1">
        <f>IFERROR(Table2[[#This Row],[WASH_acute_PIN]]*$W78,)</f>
        <v>0</v>
      </c>
      <c r="AU78" s="1">
        <f>IFERROR(Table2[[#This Row],[Protection_PIN]]*$W78,)</f>
        <v>0</v>
      </c>
      <c r="AV78" s="1">
        <f>IFERROR(Table2[[#This Row],[Food_PIN]]*$W78,)</f>
        <v>0</v>
      </c>
      <c r="AW78" s="1">
        <f>IFERROR(Table2[[#This Row],[Protection_CP_PIN]]*$W78,)</f>
        <v>0</v>
      </c>
      <c r="AX78" s="1">
        <f>IFERROR(Table2[[#This Row],[Protection_GBV_PIN]]*$W78,)</f>
        <v>0</v>
      </c>
      <c r="AY78" s="1">
        <f>IFERROR(Table2[[#This Row],[Protection_MA_PIN]]*$W78,)</f>
        <v>0</v>
      </c>
      <c r="AZ78" s="1">
        <v>2</v>
      </c>
      <c r="BA78" s="1">
        <v>3</v>
      </c>
      <c r="BB78" s="1">
        <v>4</v>
      </c>
      <c r="BC78" s="1">
        <v>2</v>
      </c>
      <c r="BD78" s="1">
        <v>3</v>
      </c>
      <c r="BE78" s="1">
        <v>3</v>
      </c>
      <c r="BF78" s="1">
        <v>3</v>
      </c>
      <c r="BG78" s="1">
        <v>3</v>
      </c>
      <c r="BH78" s="1">
        <v>2</v>
      </c>
      <c r="BI78" s="1">
        <v>3</v>
      </c>
      <c r="BJ78" s="1">
        <v>3</v>
      </c>
      <c r="BK78" s="1" t="s">
        <v>665</v>
      </c>
      <c r="BL78" s="1">
        <v>3</v>
      </c>
    </row>
    <row r="79" spans="1:64" x14ac:dyDescent="0.35">
      <c r="A79" t="s">
        <v>205</v>
      </c>
      <c r="B79" t="s">
        <v>723</v>
      </c>
      <c r="C79" t="s">
        <v>206</v>
      </c>
      <c r="D79" t="s">
        <v>446</v>
      </c>
      <c r="E79" t="s">
        <v>756</v>
      </c>
      <c r="F79" t="s">
        <v>447</v>
      </c>
      <c r="G79" t="s">
        <v>757</v>
      </c>
      <c r="H79" s="1">
        <v>0</v>
      </c>
      <c r="I79" s="1" t="s">
        <v>665</v>
      </c>
      <c r="J79" s="1">
        <v>19468</v>
      </c>
      <c r="K79" s="1">
        <v>4382</v>
      </c>
      <c r="L79" s="1">
        <v>4882.959044799225</v>
      </c>
      <c r="M79" s="1">
        <v>1402.6697063932945</v>
      </c>
      <c r="N79" s="1">
        <v>4207</v>
      </c>
      <c r="O79" s="1">
        <v>20886.492940001903</v>
      </c>
      <c r="P79" s="1">
        <v>14178</v>
      </c>
      <c r="Q79" s="1">
        <v>10518</v>
      </c>
      <c r="R79" s="1">
        <v>11650.153846153846</v>
      </c>
      <c r="S79" s="1">
        <v>5934.9</v>
      </c>
      <c r="T79" s="1">
        <v>9181</v>
      </c>
      <c r="U79" s="1">
        <v>20899</v>
      </c>
      <c r="V79" s="3">
        <f>_xlfn.XLOOKUP(Table2[[#This Row],[admin3Pcode]],'Inter-sector dataset'!F:F,'Inter-sector dataset'!Q:Q)</f>
        <v>0</v>
      </c>
      <c r="W79" s="3">
        <f>_xlfn.XLOOKUP(Table2[[#This Row],[admin3Pcode]],'Inter-sector dataset'!F:F,'Inter-sector dataset'!R:R)</f>
        <v>0</v>
      </c>
      <c r="X79" s="1">
        <f>IFERROR(Table2[[#This Row],[Health_PIN]]*$V79,)</f>
        <v>0</v>
      </c>
      <c r="Y79" s="1">
        <f>IFERROR(Table2[[#This Row],[CCCM_PIN]]*$V79,)</f>
        <v>0</v>
      </c>
      <c r="Z79" s="1">
        <f>IFERROR(Table2[[#This Row],[ERL_PIN]]*$V79,)</f>
        <v>0</v>
      </c>
      <c r="AA79" s="1">
        <f>IFERROR(Table2[[#This Row],[NFI_PIN]]*$V79,)</f>
        <v>0</v>
      </c>
      <c r="AB79" s="1">
        <f>IFERROR(Table2[[#This Row],[Nutrition_PIN]]*$V79,)</f>
        <v>0</v>
      </c>
      <c r="AC79" s="1">
        <f>IFERROR(Table2[[#This Row],[Education_PIN]]*$V79,)</f>
        <v>0</v>
      </c>
      <c r="AD79" s="1">
        <f>IFERROR(Table2[[#This Row],[Shelter_PIN]]*$V79,)</f>
        <v>0</v>
      </c>
      <c r="AE79" s="1">
        <f>IFERROR(Table2[[#This Row],[WASH_PIN]]*$V79,)</f>
        <v>0</v>
      </c>
      <c r="AF79" s="1">
        <f>IFERROR(Table2[[#This Row],[WASH_acute_PIN]]*$V79,)</f>
        <v>0</v>
      </c>
      <c r="AG79" s="1">
        <f>IFERROR(Table2[[#This Row],[Protection_PIN]]*$V79,)</f>
        <v>0</v>
      </c>
      <c r="AH79" s="1">
        <f>IFERROR(Table2[[#This Row],[Food_PIN]]*$V79,)</f>
        <v>0</v>
      </c>
      <c r="AI79" s="1">
        <f>IFERROR(Table2[[#This Row],[Protection_CP_PIN]]*$V79,)</f>
        <v>0</v>
      </c>
      <c r="AJ79" s="1">
        <f>IFERROR(Table2[[#This Row],[Protection_GBV_PIN]]*$V79,)</f>
        <v>0</v>
      </c>
      <c r="AK79" s="1">
        <f>IFERROR(Table2[[#This Row],[Protection_MA_PIN]]*$V79,)</f>
        <v>0</v>
      </c>
      <c r="AL79" s="1">
        <f>IFERROR(Table2[[#This Row],[Health_PIN]]*$W79,)</f>
        <v>0</v>
      </c>
      <c r="AM79" s="1">
        <f>IFERROR(Table2[[#This Row],[CCCM_PIN]]*$W79,)</f>
        <v>0</v>
      </c>
      <c r="AN79" s="1">
        <f>IFERROR(Table2[[#This Row],[ERL_PIN]]*$W79,)</f>
        <v>0</v>
      </c>
      <c r="AO79" s="1">
        <f>IFERROR(Table2[[#This Row],[NFI_PIN]]*$W79,)</f>
        <v>0</v>
      </c>
      <c r="AP79" s="1">
        <f>IFERROR(Table2[[#This Row],[Nutrition_PIN]]*$W79,)</f>
        <v>0</v>
      </c>
      <c r="AQ79" s="1">
        <f>IFERROR(Table2[[#This Row],[Education_PIN]]*$W79,)</f>
        <v>0</v>
      </c>
      <c r="AR79" s="1">
        <f>IFERROR(Table2[[#This Row],[Shelter_PIN]]*$W79,)</f>
        <v>0</v>
      </c>
      <c r="AS79" s="1">
        <f>IFERROR(Table2[[#This Row],[WASH_PIN]]*$W79,)</f>
        <v>0</v>
      </c>
      <c r="AT79" s="1">
        <f>IFERROR(Table2[[#This Row],[WASH_acute_PIN]]*$W79,)</f>
        <v>0</v>
      </c>
      <c r="AU79" s="1">
        <f>IFERROR(Table2[[#This Row],[Protection_PIN]]*$W79,)</f>
        <v>0</v>
      </c>
      <c r="AV79" s="1">
        <f>IFERROR(Table2[[#This Row],[Food_PIN]]*$W79,)</f>
        <v>0</v>
      </c>
      <c r="AW79" s="1">
        <f>IFERROR(Table2[[#This Row],[Protection_CP_PIN]]*$W79,)</f>
        <v>0</v>
      </c>
      <c r="AX79" s="1">
        <f>IFERROR(Table2[[#This Row],[Protection_GBV_PIN]]*$W79,)</f>
        <v>0</v>
      </c>
      <c r="AY79" s="1">
        <f>IFERROR(Table2[[#This Row],[Protection_MA_PIN]]*$W79,)</f>
        <v>0</v>
      </c>
      <c r="AZ79" s="1">
        <v>2</v>
      </c>
      <c r="BA79" s="1">
        <v>5</v>
      </c>
      <c r="BB79" s="1">
        <v>5</v>
      </c>
      <c r="BC79" s="1">
        <v>3</v>
      </c>
      <c r="BD79" s="1">
        <v>3</v>
      </c>
      <c r="BE79" s="1">
        <v>2</v>
      </c>
      <c r="BF79" s="1">
        <v>3</v>
      </c>
      <c r="BG79" s="1">
        <v>4</v>
      </c>
      <c r="BH79" s="1">
        <v>4</v>
      </c>
      <c r="BI79" s="1">
        <v>3</v>
      </c>
      <c r="BJ79" s="1">
        <v>4</v>
      </c>
      <c r="BK79" s="1" t="s">
        <v>665</v>
      </c>
      <c r="BL79" s="1">
        <v>4</v>
      </c>
    </row>
    <row r="80" spans="1:64" x14ac:dyDescent="0.35">
      <c r="A80" t="s">
        <v>6</v>
      </c>
      <c r="B80" t="s">
        <v>667</v>
      </c>
      <c r="C80" t="s">
        <v>7</v>
      </c>
      <c r="D80" t="s">
        <v>93</v>
      </c>
      <c r="E80" t="s">
        <v>758</v>
      </c>
      <c r="F80" t="s">
        <v>94</v>
      </c>
      <c r="G80" t="s">
        <v>93</v>
      </c>
      <c r="H80" s="1">
        <v>10765.5</v>
      </c>
      <c r="I80" s="1" t="s">
        <v>665</v>
      </c>
      <c r="J80" s="1">
        <v>16936</v>
      </c>
      <c r="K80" s="1">
        <v>6212</v>
      </c>
      <c r="L80" s="1">
        <v>3566.1588763479895</v>
      </c>
      <c r="M80" s="1">
        <v>5105.1833333333334</v>
      </c>
      <c r="N80" s="1">
        <v>3811</v>
      </c>
      <c r="O80" s="1">
        <v>10548.961678619147</v>
      </c>
      <c r="P80" s="1">
        <v>768</v>
      </c>
      <c r="Q80" s="1">
        <v>10766</v>
      </c>
      <c r="R80" s="1">
        <v>10765.499999999998</v>
      </c>
      <c r="S80" s="1">
        <v>4115.3999999999996</v>
      </c>
      <c r="T80" s="1">
        <v>3623</v>
      </c>
      <c r="U80" s="1" t="s">
        <v>665</v>
      </c>
      <c r="V80" s="3">
        <f>_xlfn.XLOOKUP(Table2[[#This Row],[admin3Pcode]],'Inter-sector dataset'!F:F,'Inter-sector dataset'!Q:Q)</f>
        <v>0</v>
      </c>
      <c r="W80" s="3">
        <f>_xlfn.XLOOKUP(Table2[[#This Row],[admin3Pcode]],'Inter-sector dataset'!F:F,'Inter-sector dataset'!R:R)</f>
        <v>0</v>
      </c>
      <c r="X80" s="1">
        <f>IFERROR(Table2[[#This Row],[Health_PIN]]*$V80,)</f>
        <v>0</v>
      </c>
      <c r="Y80" s="1">
        <f>IFERROR(Table2[[#This Row],[CCCM_PIN]]*$V80,)</f>
        <v>0</v>
      </c>
      <c r="Z80" s="1">
        <f>IFERROR(Table2[[#This Row],[ERL_PIN]]*$V80,)</f>
        <v>0</v>
      </c>
      <c r="AA80" s="1">
        <f>IFERROR(Table2[[#This Row],[NFI_PIN]]*$V80,)</f>
        <v>0</v>
      </c>
      <c r="AB80" s="1">
        <f>IFERROR(Table2[[#This Row],[Nutrition_PIN]]*$V80,)</f>
        <v>0</v>
      </c>
      <c r="AC80" s="1">
        <f>IFERROR(Table2[[#This Row],[Education_PIN]]*$V80,)</f>
        <v>0</v>
      </c>
      <c r="AD80" s="1">
        <f>IFERROR(Table2[[#This Row],[Shelter_PIN]]*$V80,)</f>
        <v>0</v>
      </c>
      <c r="AE80" s="1">
        <f>IFERROR(Table2[[#This Row],[WASH_PIN]]*$V80,)</f>
        <v>0</v>
      </c>
      <c r="AF80" s="1">
        <f>IFERROR(Table2[[#This Row],[WASH_acute_PIN]]*$V80,)</f>
        <v>0</v>
      </c>
      <c r="AG80" s="1">
        <f>IFERROR(Table2[[#This Row],[Protection_PIN]]*$V80,)</f>
        <v>0</v>
      </c>
      <c r="AH80" s="1">
        <f>IFERROR(Table2[[#This Row],[Food_PIN]]*$V80,)</f>
        <v>0</v>
      </c>
      <c r="AI80" s="1">
        <f>IFERROR(Table2[[#This Row],[Protection_CP_PIN]]*$V80,)</f>
        <v>0</v>
      </c>
      <c r="AJ80" s="1">
        <f>IFERROR(Table2[[#This Row],[Protection_GBV_PIN]]*$V80,)</f>
        <v>0</v>
      </c>
      <c r="AK80" s="1">
        <f>IFERROR(Table2[[#This Row],[Protection_MA_PIN]]*$V80,)</f>
        <v>0</v>
      </c>
      <c r="AL80" s="1">
        <f>IFERROR(Table2[[#This Row],[Health_PIN]]*$W80,)</f>
        <v>0</v>
      </c>
      <c r="AM80" s="1">
        <f>IFERROR(Table2[[#This Row],[CCCM_PIN]]*$W80,)</f>
        <v>0</v>
      </c>
      <c r="AN80" s="1">
        <f>IFERROR(Table2[[#This Row],[ERL_PIN]]*$W80,)</f>
        <v>0</v>
      </c>
      <c r="AO80" s="1">
        <f>IFERROR(Table2[[#This Row],[NFI_PIN]]*$W80,)</f>
        <v>0</v>
      </c>
      <c r="AP80" s="1">
        <f>IFERROR(Table2[[#This Row],[Nutrition_PIN]]*$W80,)</f>
        <v>0</v>
      </c>
      <c r="AQ80" s="1">
        <f>IFERROR(Table2[[#This Row],[Education_PIN]]*$W80,)</f>
        <v>0</v>
      </c>
      <c r="AR80" s="1">
        <f>IFERROR(Table2[[#This Row],[Shelter_PIN]]*$W80,)</f>
        <v>0</v>
      </c>
      <c r="AS80" s="1">
        <f>IFERROR(Table2[[#This Row],[WASH_PIN]]*$W80,)</f>
        <v>0</v>
      </c>
      <c r="AT80" s="1">
        <f>IFERROR(Table2[[#This Row],[WASH_acute_PIN]]*$W80,)</f>
        <v>0</v>
      </c>
      <c r="AU80" s="1">
        <f>IFERROR(Table2[[#This Row],[Protection_PIN]]*$W80,)</f>
        <v>0</v>
      </c>
      <c r="AV80" s="1">
        <f>IFERROR(Table2[[#This Row],[Food_PIN]]*$W80,)</f>
        <v>0</v>
      </c>
      <c r="AW80" s="1">
        <f>IFERROR(Table2[[#This Row],[Protection_CP_PIN]]*$W80,)</f>
        <v>0</v>
      </c>
      <c r="AX80" s="1">
        <f>IFERROR(Table2[[#This Row],[Protection_GBV_PIN]]*$W80,)</f>
        <v>0</v>
      </c>
      <c r="AY80" s="1">
        <f>IFERROR(Table2[[#This Row],[Protection_MA_PIN]]*$W80,)</f>
        <v>0</v>
      </c>
      <c r="AZ80" s="1">
        <v>2</v>
      </c>
      <c r="BA80" s="1">
        <v>4</v>
      </c>
      <c r="BB80" s="1">
        <v>4</v>
      </c>
      <c r="BC80" s="1">
        <v>3</v>
      </c>
      <c r="BD80" s="1">
        <v>3</v>
      </c>
      <c r="BE80" s="1">
        <v>3</v>
      </c>
      <c r="BF80" s="1">
        <v>3</v>
      </c>
      <c r="BG80" s="1">
        <v>4</v>
      </c>
      <c r="BH80" s="1">
        <v>2</v>
      </c>
      <c r="BI80" s="1">
        <v>3</v>
      </c>
      <c r="BJ80" s="1">
        <v>3</v>
      </c>
      <c r="BK80" s="1" t="s">
        <v>665</v>
      </c>
      <c r="BL80" s="1">
        <v>3</v>
      </c>
    </row>
    <row r="81" spans="1:64" x14ac:dyDescent="0.35">
      <c r="A81" t="s">
        <v>54</v>
      </c>
      <c r="B81" t="s">
        <v>709</v>
      </c>
      <c r="C81" t="s">
        <v>55</v>
      </c>
      <c r="D81" t="s">
        <v>114</v>
      </c>
      <c r="E81" t="s">
        <v>759</v>
      </c>
      <c r="F81" t="s">
        <v>115</v>
      </c>
      <c r="G81" t="s">
        <v>114</v>
      </c>
      <c r="H81" s="1">
        <v>10868.5</v>
      </c>
      <c r="I81" s="1" t="s">
        <v>665</v>
      </c>
      <c r="J81" s="1">
        <v>18366</v>
      </c>
      <c r="K81" s="1">
        <v>6521</v>
      </c>
      <c r="L81" s="1">
        <v>4949.124878333876</v>
      </c>
      <c r="M81" s="1">
        <v>3228.7808033834599</v>
      </c>
      <c r="N81" s="1">
        <v>0</v>
      </c>
      <c r="O81" s="1">
        <v>16285.949146592073</v>
      </c>
      <c r="P81" s="1">
        <v>517</v>
      </c>
      <c r="Q81" s="1">
        <v>10869</v>
      </c>
      <c r="R81" s="1">
        <v>20650.149999999998</v>
      </c>
      <c r="S81" s="1">
        <v>5753.1</v>
      </c>
      <c r="T81" s="1">
        <v>6229</v>
      </c>
      <c r="U81" s="1">
        <v>21637</v>
      </c>
      <c r="V81" s="3">
        <f>_xlfn.XLOOKUP(Table2[[#This Row],[admin3Pcode]],'Inter-sector dataset'!F:F,'Inter-sector dataset'!Q:Q)</f>
        <v>0</v>
      </c>
      <c r="W81" s="3">
        <f>_xlfn.XLOOKUP(Table2[[#This Row],[admin3Pcode]],'Inter-sector dataset'!F:F,'Inter-sector dataset'!R:R)</f>
        <v>0</v>
      </c>
      <c r="X81" s="1">
        <f>IFERROR(Table2[[#This Row],[Health_PIN]]*$V81,)</f>
        <v>0</v>
      </c>
      <c r="Y81" s="1">
        <f>IFERROR(Table2[[#This Row],[CCCM_PIN]]*$V81,)</f>
        <v>0</v>
      </c>
      <c r="Z81" s="1">
        <f>IFERROR(Table2[[#This Row],[ERL_PIN]]*$V81,)</f>
        <v>0</v>
      </c>
      <c r="AA81" s="1">
        <f>IFERROR(Table2[[#This Row],[NFI_PIN]]*$V81,)</f>
        <v>0</v>
      </c>
      <c r="AB81" s="1">
        <f>IFERROR(Table2[[#This Row],[Nutrition_PIN]]*$V81,)</f>
        <v>0</v>
      </c>
      <c r="AC81" s="1">
        <f>IFERROR(Table2[[#This Row],[Education_PIN]]*$V81,)</f>
        <v>0</v>
      </c>
      <c r="AD81" s="1">
        <f>IFERROR(Table2[[#This Row],[Shelter_PIN]]*$V81,)</f>
        <v>0</v>
      </c>
      <c r="AE81" s="1">
        <f>IFERROR(Table2[[#This Row],[WASH_PIN]]*$V81,)</f>
        <v>0</v>
      </c>
      <c r="AF81" s="1">
        <f>IFERROR(Table2[[#This Row],[WASH_acute_PIN]]*$V81,)</f>
        <v>0</v>
      </c>
      <c r="AG81" s="1">
        <f>IFERROR(Table2[[#This Row],[Protection_PIN]]*$V81,)</f>
        <v>0</v>
      </c>
      <c r="AH81" s="1">
        <f>IFERROR(Table2[[#This Row],[Food_PIN]]*$V81,)</f>
        <v>0</v>
      </c>
      <c r="AI81" s="1">
        <f>IFERROR(Table2[[#This Row],[Protection_CP_PIN]]*$V81,)</f>
        <v>0</v>
      </c>
      <c r="AJ81" s="1">
        <f>IFERROR(Table2[[#This Row],[Protection_GBV_PIN]]*$V81,)</f>
        <v>0</v>
      </c>
      <c r="AK81" s="1">
        <f>IFERROR(Table2[[#This Row],[Protection_MA_PIN]]*$V81,)</f>
        <v>0</v>
      </c>
      <c r="AL81" s="1">
        <f>IFERROR(Table2[[#This Row],[Health_PIN]]*$W81,)</f>
        <v>0</v>
      </c>
      <c r="AM81" s="1">
        <f>IFERROR(Table2[[#This Row],[CCCM_PIN]]*$W81,)</f>
        <v>0</v>
      </c>
      <c r="AN81" s="1">
        <f>IFERROR(Table2[[#This Row],[ERL_PIN]]*$W81,)</f>
        <v>0</v>
      </c>
      <c r="AO81" s="1">
        <f>IFERROR(Table2[[#This Row],[NFI_PIN]]*$W81,)</f>
        <v>0</v>
      </c>
      <c r="AP81" s="1">
        <f>IFERROR(Table2[[#This Row],[Nutrition_PIN]]*$W81,)</f>
        <v>0</v>
      </c>
      <c r="AQ81" s="1">
        <f>IFERROR(Table2[[#This Row],[Education_PIN]]*$W81,)</f>
        <v>0</v>
      </c>
      <c r="AR81" s="1">
        <f>IFERROR(Table2[[#This Row],[Shelter_PIN]]*$W81,)</f>
        <v>0</v>
      </c>
      <c r="AS81" s="1">
        <f>IFERROR(Table2[[#This Row],[WASH_PIN]]*$W81,)</f>
        <v>0</v>
      </c>
      <c r="AT81" s="1">
        <f>IFERROR(Table2[[#This Row],[WASH_acute_PIN]]*$W81,)</f>
        <v>0</v>
      </c>
      <c r="AU81" s="1">
        <f>IFERROR(Table2[[#This Row],[Protection_PIN]]*$W81,)</f>
        <v>0</v>
      </c>
      <c r="AV81" s="1">
        <f>IFERROR(Table2[[#This Row],[Food_PIN]]*$W81,)</f>
        <v>0</v>
      </c>
      <c r="AW81" s="1">
        <f>IFERROR(Table2[[#This Row],[Protection_CP_PIN]]*$W81,)</f>
        <v>0</v>
      </c>
      <c r="AX81" s="1">
        <f>IFERROR(Table2[[#This Row],[Protection_GBV_PIN]]*$W81,)</f>
        <v>0</v>
      </c>
      <c r="AY81" s="1">
        <f>IFERROR(Table2[[#This Row],[Protection_MA_PIN]]*$W81,)</f>
        <v>0</v>
      </c>
      <c r="AZ81" s="1">
        <v>1</v>
      </c>
      <c r="BA81" s="1">
        <v>3</v>
      </c>
      <c r="BB81" s="1">
        <v>4</v>
      </c>
      <c r="BC81" s="1">
        <v>3</v>
      </c>
      <c r="BD81" s="1">
        <v>3</v>
      </c>
      <c r="BE81" s="1">
        <v>3</v>
      </c>
      <c r="BF81" s="1">
        <v>3</v>
      </c>
      <c r="BG81" s="1">
        <v>4</v>
      </c>
      <c r="BH81" s="1">
        <v>3</v>
      </c>
      <c r="BI81" s="1">
        <v>3</v>
      </c>
      <c r="BJ81" s="1">
        <v>4</v>
      </c>
      <c r="BK81" s="1" t="s">
        <v>665</v>
      </c>
      <c r="BL81" s="1">
        <v>4</v>
      </c>
    </row>
    <row r="82" spans="1:64" x14ac:dyDescent="0.35">
      <c r="A82" t="s">
        <v>17</v>
      </c>
      <c r="B82" t="s">
        <v>663</v>
      </c>
      <c r="C82" t="s">
        <v>18</v>
      </c>
      <c r="D82" t="s">
        <v>134</v>
      </c>
      <c r="E82" t="s">
        <v>760</v>
      </c>
      <c r="F82" t="s">
        <v>135</v>
      </c>
      <c r="G82" t="s">
        <v>134</v>
      </c>
      <c r="H82" s="1">
        <v>12688</v>
      </c>
      <c r="I82" s="1" t="s">
        <v>665</v>
      </c>
      <c r="J82" s="1">
        <v>20808</v>
      </c>
      <c r="K82" s="1">
        <v>7081</v>
      </c>
      <c r="L82" s="1">
        <v>5497.2888763426672</v>
      </c>
      <c r="M82" s="1">
        <v>8894.4166666666642</v>
      </c>
      <c r="N82" s="1">
        <v>4367</v>
      </c>
      <c r="O82" s="1">
        <v>403.54041824216552</v>
      </c>
      <c r="P82" s="1">
        <v>0</v>
      </c>
      <c r="Q82" s="1">
        <v>12688</v>
      </c>
      <c r="R82" s="1">
        <v>5874.074074074073</v>
      </c>
      <c r="S82" s="1">
        <v>5636</v>
      </c>
      <c r="T82" s="1">
        <v>7354</v>
      </c>
      <c r="U82" s="1">
        <v>2366</v>
      </c>
      <c r="V82" s="3">
        <f>_xlfn.XLOOKUP(Table2[[#This Row],[admin3Pcode]],'Inter-sector dataset'!F:F,'Inter-sector dataset'!Q:Q)</f>
        <v>0</v>
      </c>
      <c r="W82" s="3">
        <f>_xlfn.XLOOKUP(Table2[[#This Row],[admin3Pcode]],'Inter-sector dataset'!F:F,'Inter-sector dataset'!R:R)</f>
        <v>0</v>
      </c>
      <c r="X82" s="1">
        <f>IFERROR(Table2[[#This Row],[Health_PIN]]*$V82,)</f>
        <v>0</v>
      </c>
      <c r="Y82" s="1">
        <f>IFERROR(Table2[[#This Row],[CCCM_PIN]]*$V82,)</f>
        <v>0</v>
      </c>
      <c r="Z82" s="1">
        <f>IFERROR(Table2[[#This Row],[ERL_PIN]]*$V82,)</f>
        <v>0</v>
      </c>
      <c r="AA82" s="1">
        <f>IFERROR(Table2[[#This Row],[NFI_PIN]]*$V82,)</f>
        <v>0</v>
      </c>
      <c r="AB82" s="1">
        <f>IFERROR(Table2[[#This Row],[Nutrition_PIN]]*$V82,)</f>
        <v>0</v>
      </c>
      <c r="AC82" s="1">
        <f>IFERROR(Table2[[#This Row],[Education_PIN]]*$V82,)</f>
        <v>0</v>
      </c>
      <c r="AD82" s="1">
        <f>IFERROR(Table2[[#This Row],[Shelter_PIN]]*$V82,)</f>
        <v>0</v>
      </c>
      <c r="AE82" s="1">
        <f>IFERROR(Table2[[#This Row],[WASH_PIN]]*$V82,)</f>
        <v>0</v>
      </c>
      <c r="AF82" s="1">
        <f>IFERROR(Table2[[#This Row],[WASH_acute_PIN]]*$V82,)</f>
        <v>0</v>
      </c>
      <c r="AG82" s="1">
        <f>IFERROR(Table2[[#This Row],[Protection_PIN]]*$V82,)</f>
        <v>0</v>
      </c>
      <c r="AH82" s="1">
        <f>IFERROR(Table2[[#This Row],[Food_PIN]]*$V82,)</f>
        <v>0</v>
      </c>
      <c r="AI82" s="1">
        <f>IFERROR(Table2[[#This Row],[Protection_CP_PIN]]*$V82,)</f>
        <v>0</v>
      </c>
      <c r="AJ82" s="1">
        <f>IFERROR(Table2[[#This Row],[Protection_GBV_PIN]]*$V82,)</f>
        <v>0</v>
      </c>
      <c r="AK82" s="1">
        <f>IFERROR(Table2[[#This Row],[Protection_MA_PIN]]*$V82,)</f>
        <v>0</v>
      </c>
      <c r="AL82" s="1">
        <f>IFERROR(Table2[[#This Row],[Health_PIN]]*$W82,)</f>
        <v>0</v>
      </c>
      <c r="AM82" s="1">
        <f>IFERROR(Table2[[#This Row],[CCCM_PIN]]*$W82,)</f>
        <v>0</v>
      </c>
      <c r="AN82" s="1">
        <f>IFERROR(Table2[[#This Row],[ERL_PIN]]*$W82,)</f>
        <v>0</v>
      </c>
      <c r="AO82" s="1">
        <f>IFERROR(Table2[[#This Row],[NFI_PIN]]*$W82,)</f>
        <v>0</v>
      </c>
      <c r="AP82" s="1">
        <f>IFERROR(Table2[[#This Row],[Nutrition_PIN]]*$W82,)</f>
        <v>0</v>
      </c>
      <c r="AQ82" s="1">
        <f>IFERROR(Table2[[#This Row],[Education_PIN]]*$W82,)</f>
        <v>0</v>
      </c>
      <c r="AR82" s="1">
        <f>IFERROR(Table2[[#This Row],[Shelter_PIN]]*$W82,)</f>
        <v>0</v>
      </c>
      <c r="AS82" s="1">
        <f>IFERROR(Table2[[#This Row],[WASH_PIN]]*$W82,)</f>
        <v>0</v>
      </c>
      <c r="AT82" s="1">
        <f>IFERROR(Table2[[#This Row],[WASH_acute_PIN]]*$W82,)</f>
        <v>0</v>
      </c>
      <c r="AU82" s="1">
        <f>IFERROR(Table2[[#This Row],[Protection_PIN]]*$W82,)</f>
        <v>0</v>
      </c>
      <c r="AV82" s="1">
        <f>IFERROR(Table2[[#This Row],[Food_PIN]]*$W82,)</f>
        <v>0</v>
      </c>
      <c r="AW82" s="1">
        <f>IFERROR(Table2[[#This Row],[Protection_CP_PIN]]*$W82,)</f>
        <v>0</v>
      </c>
      <c r="AX82" s="1">
        <f>IFERROR(Table2[[#This Row],[Protection_GBV_PIN]]*$W82,)</f>
        <v>0</v>
      </c>
      <c r="AY82" s="1">
        <f>IFERROR(Table2[[#This Row],[Protection_MA_PIN]]*$W82,)</f>
        <v>0</v>
      </c>
      <c r="AZ82" s="1">
        <v>2</v>
      </c>
      <c r="BA82" s="1">
        <v>4</v>
      </c>
      <c r="BB82" s="1">
        <v>4</v>
      </c>
      <c r="BC82" s="1">
        <v>3</v>
      </c>
      <c r="BD82" s="1">
        <v>3</v>
      </c>
      <c r="BE82" s="1">
        <v>3</v>
      </c>
      <c r="BF82" s="1">
        <v>3</v>
      </c>
      <c r="BG82" s="1">
        <v>3</v>
      </c>
      <c r="BH82" s="1">
        <v>3</v>
      </c>
      <c r="BI82" s="1">
        <v>3</v>
      </c>
      <c r="BJ82" s="1">
        <v>3</v>
      </c>
      <c r="BK82" s="1" t="s">
        <v>665</v>
      </c>
      <c r="BL82" s="1">
        <v>2</v>
      </c>
    </row>
    <row r="83" spans="1:64" x14ac:dyDescent="0.35">
      <c r="A83" t="s">
        <v>28</v>
      </c>
      <c r="B83" t="s">
        <v>761</v>
      </c>
      <c r="C83" t="s">
        <v>29</v>
      </c>
      <c r="D83" t="s">
        <v>409</v>
      </c>
      <c r="E83" t="s">
        <v>762</v>
      </c>
      <c r="F83" t="s">
        <v>410</v>
      </c>
      <c r="G83" t="s">
        <v>409</v>
      </c>
      <c r="H83" s="1">
        <v>19056</v>
      </c>
      <c r="I83" s="1" t="s">
        <v>665</v>
      </c>
      <c r="J83" s="1">
        <v>22757</v>
      </c>
      <c r="K83" s="1">
        <v>5179</v>
      </c>
      <c r="L83" s="1">
        <v>7202.9091643858392</v>
      </c>
      <c r="M83" s="1">
        <v>3189.2500639002237</v>
      </c>
      <c r="N83" s="1">
        <v>6971</v>
      </c>
      <c r="O83" s="1">
        <v>25121.78787878788</v>
      </c>
      <c r="P83" s="1">
        <v>21401</v>
      </c>
      <c r="Q83" s="1">
        <v>12704</v>
      </c>
      <c r="R83" s="1">
        <v>10426.69037037037</v>
      </c>
      <c r="S83" s="1">
        <v>2707.1</v>
      </c>
      <c r="T83" s="1">
        <v>13894</v>
      </c>
      <c r="U83" s="1">
        <v>25408</v>
      </c>
      <c r="V83" s="3">
        <f>_xlfn.XLOOKUP(Table2[[#This Row],[admin3Pcode]],'Inter-sector dataset'!F:F,'Inter-sector dataset'!Q:Q)</f>
        <v>0</v>
      </c>
      <c r="W83" s="3">
        <f>_xlfn.XLOOKUP(Table2[[#This Row],[admin3Pcode]],'Inter-sector dataset'!F:F,'Inter-sector dataset'!R:R)</f>
        <v>0</v>
      </c>
      <c r="X83" s="1">
        <f>IFERROR(Table2[[#This Row],[Health_PIN]]*$V83,)</f>
        <v>0</v>
      </c>
      <c r="Y83" s="1">
        <f>IFERROR(Table2[[#This Row],[CCCM_PIN]]*$V83,)</f>
        <v>0</v>
      </c>
      <c r="Z83" s="1">
        <f>IFERROR(Table2[[#This Row],[ERL_PIN]]*$V83,)</f>
        <v>0</v>
      </c>
      <c r="AA83" s="1">
        <f>IFERROR(Table2[[#This Row],[NFI_PIN]]*$V83,)</f>
        <v>0</v>
      </c>
      <c r="AB83" s="1">
        <f>IFERROR(Table2[[#This Row],[Nutrition_PIN]]*$V83,)</f>
        <v>0</v>
      </c>
      <c r="AC83" s="1">
        <f>IFERROR(Table2[[#This Row],[Education_PIN]]*$V83,)</f>
        <v>0</v>
      </c>
      <c r="AD83" s="1">
        <f>IFERROR(Table2[[#This Row],[Shelter_PIN]]*$V83,)</f>
        <v>0</v>
      </c>
      <c r="AE83" s="1">
        <f>IFERROR(Table2[[#This Row],[WASH_PIN]]*$V83,)</f>
        <v>0</v>
      </c>
      <c r="AF83" s="1">
        <f>IFERROR(Table2[[#This Row],[WASH_acute_PIN]]*$V83,)</f>
        <v>0</v>
      </c>
      <c r="AG83" s="1">
        <f>IFERROR(Table2[[#This Row],[Protection_PIN]]*$V83,)</f>
        <v>0</v>
      </c>
      <c r="AH83" s="1">
        <f>IFERROR(Table2[[#This Row],[Food_PIN]]*$V83,)</f>
        <v>0</v>
      </c>
      <c r="AI83" s="1">
        <f>IFERROR(Table2[[#This Row],[Protection_CP_PIN]]*$V83,)</f>
        <v>0</v>
      </c>
      <c r="AJ83" s="1">
        <f>IFERROR(Table2[[#This Row],[Protection_GBV_PIN]]*$V83,)</f>
        <v>0</v>
      </c>
      <c r="AK83" s="1">
        <f>IFERROR(Table2[[#This Row],[Protection_MA_PIN]]*$V83,)</f>
        <v>0</v>
      </c>
      <c r="AL83" s="1">
        <f>IFERROR(Table2[[#This Row],[Health_PIN]]*$W83,)</f>
        <v>0</v>
      </c>
      <c r="AM83" s="1">
        <f>IFERROR(Table2[[#This Row],[CCCM_PIN]]*$W83,)</f>
        <v>0</v>
      </c>
      <c r="AN83" s="1">
        <f>IFERROR(Table2[[#This Row],[ERL_PIN]]*$W83,)</f>
        <v>0</v>
      </c>
      <c r="AO83" s="1">
        <f>IFERROR(Table2[[#This Row],[NFI_PIN]]*$W83,)</f>
        <v>0</v>
      </c>
      <c r="AP83" s="1">
        <f>IFERROR(Table2[[#This Row],[Nutrition_PIN]]*$W83,)</f>
        <v>0</v>
      </c>
      <c r="AQ83" s="1">
        <f>IFERROR(Table2[[#This Row],[Education_PIN]]*$W83,)</f>
        <v>0</v>
      </c>
      <c r="AR83" s="1">
        <f>IFERROR(Table2[[#This Row],[Shelter_PIN]]*$W83,)</f>
        <v>0</v>
      </c>
      <c r="AS83" s="1">
        <f>IFERROR(Table2[[#This Row],[WASH_PIN]]*$W83,)</f>
        <v>0</v>
      </c>
      <c r="AT83" s="1">
        <f>IFERROR(Table2[[#This Row],[WASH_acute_PIN]]*$W83,)</f>
        <v>0</v>
      </c>
      <c r="AU83" s="1">
        <f>IFERROR(Table2[[#This Row],[Protection_PIN]]*$W83,)</f>
        <v>0</v>
      </c>
      <c r="AV83" s="1">
        <f>IFERROR(Table2[[#This Row],[Food_PIN]]*$W83,)</f>
        <v>0</v>
      </c>
      <c r="AW83" s="1">
        <f>IFERROR(Table2[[#This Row],[Protection_CP_PIN]]*$W83,)</f>
        <v>0</v>
      </c>
      <c r="AX83" s="1">
        <f>IFERROR(Table2[[#This Row],[Protection_GBV_PIN]]*$W83,)</f>
        <v>0</v>
      </c>
      <c r="AY83" s="1">
        <f>IFERROR(Table2[[#This Row],[Protection_MA_PIN]]*$W83,)</f>
        <v>0</v>
      </c>
      <c r="AZ83" s="1">
        <v>3</v>
      </c>
      <c r="BA83" s="1">
        <v>3</v>
      </c>
      <c r="BB83" s="1">
        <v>4</v>
      </c>
      <c r="BC83" s="1">
        <v>3</v>
      </c>
      <c r="BD83" s="1">
        <v>3</v>
      </c>
      <c r="BE83" s="1">
        <v>4</v>
      </c>
      <c r="BF83" s="1">
        <v>3</v>
      </c>
      <c r="BG83" s="1">
        <v>2</v>
      </c>
      <c r="BH83" s="1">
        <v>5</v>
      </c>
      <c r="BI83" s="1">
        <v>3</v>
      </c>
      <c r="BJ83" s="1">
        <v>3</v>
      </c>
      <c r="BK83" s="1" t="s">
        <v>665</v>
      </c>
      <c r="BL83" s="1">
        <v>4</v>
      </c>
    </row>
    <row r="84" spans="1:64" x14ac:dyDescent="0.35">
      <c r="A84" t="s">
        <v>104</v>
      </c>
      <c r="B84" t="s">
        <v>677</v>
      </c>
      <c r="C84" t="s">
        <v>105</v>
      </c>
      <c r="D84" t="s">
        <v>363</v>
      </c>
      <c r="E84" t="s">
        <v>763</v>
      </c>
      <c r="F84" t="s">
        <v>364</v>
      </c>
      <c r="G84" t="s">
        <v>363</v>
      </c>
      <c r="H84" s="1">
        <v>19528.5</v>
      </c>
      <c r="I84" s="1" t="s">
        <v>665</v>
      </c>
      <c r="J84" s="1">
        <v>20224</v>
      </c>
      <c r="K84" s="1">
        <v>7811</v>
      </c>
      <c r="L84" s="1">
        <v>8747.4866363921356</v>
      </c>
      <c r="M84" s="1">
        <v>10097.733333333334</v>
      </c>
      <c r="N84" s="1">
        <v>15623</v>
      </c>
      <c r="O84" s="1">
        <v>26038.000000000007</v>
      </c>
      <c r="P84" s="1">
        <v>21998</v>
      </c>
      <c r="Q84" s="1">
        <v>13019</v>
      </c>
      <c r="R84" s="1">
        <v>16464.027692307693</v>
      </c>
      <c r="S84" s="1">
        <v>10926.6</v>
      </c>
      <c r="T84" s="1">
        <v>11513</v>
      </c>
      <c r="U84" s="1">
        <v>25338</v>
      </c>
      <c r="V84" s="3">
        <f>_xlfn.XLOOKUP(Table2[[#This Row],[admin3Pcode]],'Inter-sector dataset'!F:F,'Inter-sector dataset'!Q:Q)</f>
        <v>0</v>
      </c>
      <c r="W84" s="3">
        <f>_xlfn.XLOOKUP(Table2[[#This Row],[admin3Pcode]],'Inter-sector dataset'!F:F,'Inter-sector dataset'!R:R)</f>
        <v>0</v>
      </c>
      <c r="X84" s="1">
        <f>IFERROR(Table2[[#This Row],[Health_PIN]]*$V84,)</f>
        <v>0</v>
      </c>
      <c r="Y84" s="1">
        <f>IFERROR(Table2[[#This Row],[CCCM_PIN]]*$V84,)</f>
        <v>0</v>
      </c>
      <c r="Z84" s="1">
        <f>IFERROR(Table2[[#This Row],[ERL_PIN]]*$V84,)</f>
        <v>0</v>
      </c>
      <c r="AA84" s="1">
        <f>IFERROR(Table2[[#This Row],[NFI_PIN]]*$V84,)</f>
        <v>0</v>
      </c>
      <c r="AB84" s="1">
        <f>IFERROR(Table2[[#This Row],[Nutrition_PIN]]*$V84,)</f>
        <v>0</v>
      </c>
      <c r="AC84" s="1">
        <f>IFERROR(Table2[[#This Row],[Education_PIN]]*$V84,)</f>
        <v>0</v>
      </c>
      <c r="AD84" s="1">
        <f>IFERROR(Table2[[#This Row],[Shelter_PIN]]*$V84,)</f>
        <v>0</v>
      </c>
      <c r="AE84" s="1">
        <f>IFERROR(Table2[[#This Row],[WASH_PIN]]*$V84,)</f>
        <v>0</v>
      </c>
      <c r="AF84" s="1">
        <f>IFERROR(Table2[[#This Row],[WASH_acute_PIN]]*$V84,)</f>
        <v>0</v>
      </c>
      <c r="AG84" s="1">
        <f>IFERROR(Table2[[#This Row],[Protection_PIN]]*$V84,)</f>
        <v>0</v>
      </c>
      <c r="AH84" s="1">
        <f>IFERROR(Table2[[#This Row],[Food_PIN]]*$V84,)</f>
        <v>0</v>
      </c>
      <c r="AI84" s="1">
        <f>IFERROR(Table2[[#This Row],[Protection_CP_PIN]]*$V84,)</f>
        <v>0</v>
      </c>
      <c r="AJ84" s="1">
        <f>IFERROR(Table2[[#This Row],[Protection_GBV_PIN]]*$V84,)</f>
        <v>0</v>
      </c>
      <c r="AK84" s="1">
        <f>IFERROR(Table2[[#This Row],[Protection_MA_PIN]]*$V84,)</f>
        <v>0</v>
      </c>
      <c r="AL84" s="1">
        <f>IFERROR(Table2[[#This Row],[Health_PIN]]*$W84,)</f>
        <v>0</v>
      </c>
      <c r="AM84" s="1">
        <f>IFERROR(Table2[[#This Row],[CCCM_PIN]]*$W84,)</f>
        <v>0</v>
      </c>
      <c r="AN84" s="1">
        <f>IFERROR(Table2[[#This Row],[ERL_PIN]]*$W84,)</f>
        <v>0</v>
      </c>
      <c r="AO84" s="1">
        <f>IFERROR(Table2[[#This Row],[NFI_PIN]]*$W84,)</f>
        <v>0</v>
      </c>
      <c r="AP84" s="1">
        <f>IFERROR(Table2[[#This Row],[Nutrition_PIN]]*$W84,)</f>
        <v>0</v>
      </c>
      <c r="AQ84" s="1">
        <f>IFERROR(Table2[[#This Row],[Education_PIN]]*$W84,)</f>
        <v>0</v>
      </c>
      <c r="AR84" s="1">
        <f>IFERROR(Table2[[#This Row],[Shelter_PIN]]*$W84,)</f>
        <v>0</v>
      </c>
      <c r="AS84" s="1">
        <f>IFERROR(Table2[[#This Row],[WASH_PIN]]*$W84,)</f>
        <v>0</v>
      </c>
      <c r="AT84" s="1">
        <f>IFERROR(Table2[[#This Row],[WASH_acute_PIN]]*$W84,)</f>
        <v>0</v>
      </c>
      <c r="AU84" s="1">
        <f>IFERROR(Table2[[#This Row],[Protection_PIN]]*$W84,)</f>
        <v>0</v>
      </c>
      <c r="AV84" s="1">
        <f>IFERROR(Table2[[#This Row],[Food_PIN]]*$W84,)</f>
        <v>0</v>
      </c>
      <c r="AW84" s="1">
        <f>IFERROR(Table2[[#This Row],[Protection_CP_PIN]]*$W84,)</f>
        <v>0</v>
      </c>
      <c r="AX84" s="1">
        <f>IFERROR(Table2[[#This Row],[Protection_GBV_PIN]]*$W84,)</f>
        <v>0</v>
      </c>
      <c r="AY84" s="1">
        <f>IFERROR(Table2[[#This Row],[Protection_MA_PIN]]*$W84,)</f>
        <v>0</v>
      </c>
      <c r="AZ84" s="1">
        <v>4</v>
      </c>
      <c r="BA84" s="1">
        <v>4</v>
      </c>
      <c r="BB84" s="1">
        <v>5</v>
      </c>
      <c r="BC84" s="1">
        <v>3</v>
      </c>
      <c r="BD84" s="1">
        <v>3</v>
      </c>
      <c r="BE84" s="1">
        <v>4</v>
      </c>
      <c r="BF84" s="1">
        <v>3</v>
      </c>
      <c r="BG84" s="1">
        <v>4</v>
      </c>
      <c r="BH84" s="1">
        <v>4</v>
      </c>
      <c r="BI84" s="1">
        <v>3</v>
      </c>
      <c r="BJ84" s="1">
        <v>4</v>
      </c>
      <c r="BK84" s="1" t="s">
        <v>665</v>
      </c>
      <c r="BL84" s="1">
        <v>4</v>
      </c>
    </row>
    <row r="85" spans="1:64" x14ac:dyDescent="0.35">
      <c r="A85" t="s">
        <v>104</v>
      </c>
      <c r="B85" t="s">
        <v>677</v>
      </c>
      <c r="C85" t="s">
        <v>105</v>
      </c>
      <c r="D85" t="s">
        <v>241</v>
      </c>
      <c r="E85" t="s">
        <v>764</v>
      </c>
      <c r="F85" t="s">
        <v>242</v>
      </c>
      <c r="G85" t="s">
        <v>241</v>
      </c>
      <c r="H85" s="1">
        <v>19533</v>
      </c>
      <c r="I85" s="1" t="s">
        <v>665</v>
      </c>
      <c r="J85" s="1">
        <v>25293</v>
      </c>
      <c r="K85" s="1">
        <v>12755</v>
      </c>
      <c r="L85" s="1">
        <v>7406.9151367422364</v>
      </c>
      <c r="M85" s="1">
        <v>9755.1833333333325</v>
      </c>
      <c r="N85" s="1">
        <v>13473</v>
      </c>
      <c r="O85" s="1">
        <v>24349.588036445406</v>
      </c>
      <c r="P85" s="1">
        <v>15877</v>
      </c>
      <c r="Q85" s="1">
        <v>13022</v>
      </c>
      <c r="R85" s="1">
        <v>17844.962962962964</v>
      </c>
      <c r="S85" s="1">
        <v>6736.8000000000011</v>
      </c>
      <c r="T85" s="1">
        <v>11719</v>
      </c>
      <c r="U85" s="1">
        <v>26044</v>
      </c>
      <c r="V85" s="3">
        <f>_xlfn.XLOOKUP(Table2[[#This Row],[admin3Pcode]],'Inter-sector dataset'!F:F,'Inter-sector dataset'!Q:Q)</f>
        <v>0</v>
      </c>
      <c r="W85" s="3">
        <f>_xlfn.XLOOKUP(Table2[[#This Row],[admin3Pcode]],'Inter-sector dataset'!F:F,'Inter-sector dataset'!R:R)</f>
        <v>0</v>
      </c>
      <c r="X85" s="1">
        <f>IFERROR(Table2[[#This Row],[Health_PIN]]*$V85,)</f>
        <v>0</v>
      </c>
      <c r="Y85" s="1">
        <f>IFERROR(Table2[[#This Row],[CCCM_PIN]]*$V85,)</f>
        <v>0</v>
      </c>
      <c r="Z85" s="1">
        <f>IFERROR(Table2[[#This Row],[ERL_PIN]]*$V85,)</f>
        <v>0</v>
      </c>
      <c r="AA85" s="1">
        <f>IFERROR(Table2[[#This Row],[NFI_PIN]]*$V85,)</f>
        <v>0</v>
      </c>
      <c r="AB85" s="1">
        <f>IFERROR(Table2[[#This Row],[Nutrition_PIN]]*$V85,)</f>
        <v>0</v>
      </c>
      <c r="AC85" s="1">
        <f>IFERROR(Table2[[#This Row],[Education_PIN]]*$V85,)</f>
        <v>0</v>
      </c>
      <c r="AD85" s="1">
        <f>IFERROR(Table2[[#This Row],[Shelter_PIN]]*$V85,)</f>
        <v>0</v>
      </c>
      <c r="AE85" s="1">
        <f>IFERROR(Table2[[#This Row],[WASH_PIN]]*$V85,)</f>
        <v>0</v>
      </c>
      <c r="AF85" s="1">
        <f>IFERROR(Table2[[#This Row],[WASH_acute_PIN]]*$V85,)</f>
        <v>0</v>
      </c>
      <c r="AG85" s="1">
        <f>IFERROR(Table2[[#This Row],[Protection_PIN]]*$V85,)</f>
        <v>0</v>
      </c>
      <c r="AH85" s="1">
        <f>IFERROR(Table2[[#This Row],[Food_PIN]]*$V85,)</f>
        <v>0</v>
      </c>
      <c r="AI85" s="1">
        <f>IFERROR(Table2[[#This Row],[Protection_CP_PIN]]*$V85,)</f>
        <v>0</v>
      </c>
      <c r="AJ85" s="1">
        <f>IFERROR(Table2[[#This Row],[Protection_GBV_PIN]]*$V85,)</f>
        <v>0</v>
      </c>
      <c r="AK85" s="1">
        <f>IFERROR(Table2[[#This Row],[Protection_MA_PIN]]*$V85,)</f>
        <v>0</v>
      </c>
      <c r="AL85" s="1">
        <f>IFERROR(Table2[[#This Row],[Health_PIN]]*$W85,)</f>
        <v>0</v>
      </c>
      <c r="AM85" s="1">
        <f>IFERROR(Table2[[#This Row],[CCCM_PIN]]*$W85,)</f>
        <v>0</v>
      </c>
      <c r="AN85" s="1">
        <f>IFERROR(Table2[[#This Row],[ERL_PIN]]*$W85,)</f>
        <v>0</v>
      </c>
      <c r="AO85" s="1">
        <f>IFERROR(Table2[[#This Row],[NFI_PIN]]*$W85,)</f>
        <v>0</v>
      </c>
      <c r="AP85" s="1">
        <f>IFERROR(Table2[[#This Row],[Nutrition_PIN]]*$W85,)</f>
        <v>0</v>
      </c>
      <c r="AQ85" s="1">
        <f>IFERROR(Table2[[#This Row],[Education_PIN]]*$W85,)</f>
        <v>0</v>
      </c>
      <c r="AR85" s="1">
        <f>IFERROR(Table2[[#This Row],[Shelter_PIN]]*$W85,)</f>
        <v>0</v>
      </c>
      <c r="AS85" s="1">
        <f>IFERROR(Table2[[#This Row],[WASH_PIN]]*$W85,)</f>
        <v>0</v>
      </c>
      <c r="AT85" s="1">
        <f>IFERROR(Table2[[#This Row],[WASH_acute_PIN]]*$W85,)</f>
        <v>0</v>
      </c>
      <c r="AU85" s="1">
        <f>IFERROR(Table2[[#This Row],[Protection_PIN]]*$W85,)</f>
        <v>0</v>
      </c>
      <c r="AV85" s="1">
        <f>IFERROR(Table2[[#This Row],[Food_PIN]]*$W85,)</f>
        <v>0</v>
      </c>
      <c r="AW85" s="1">
        <f>IFERROR(Table2[[#This Row],[Protection_CP_PIN]]*$W85,)</f>
        <v>0</v>
      </c>
      <c r="AX85" s="1">
        <f>IFERROR(Table2[[#This Row],[Protection_GBV_PIN]]*$W85,)</f>
        <v>0</v>
      </c>
      <c r="AY85" s="1">
        <f>IFERROR(Table2[[#This Row],[Protection_MA_PIN]]*$W85,)</f>
        <v>0</v>
      </c>
      <c r="AZ85" s="1">
        <v>4</v>
      </c>
      <c r="BA85" s="1">
        <v>3</v>
      </c>
      <c r="BB85" s="1">
        <v>3</v>
      </c>
      <c r="BC85" s="1">
        <v>4</v>
      </c>
      <c r="BD85" s="1">
        <v>3</v>
      </c>
      <c r="BE85" s="1">
        <v>4</v>
      </c>
      <c r="BF85" s="1">
        <v>3</v>
      </c>
      <c r="BG85" s="1">
        <v>3</v>
      </c>
      <c r="BH85" s="1">
        <v>4</v>
      </c>
      <c r="BI85" s="1">
        <v>3</v>
      </c>
      <c r="BJ85" s="1">
        <v>3</v>
      </c>
      <c r="BK85" s="1" t="s">
        <v>665</v>
      </c>
      <c r="BL85" s="1">
        <v>4</v>
      </c>
    </row>
    <row r="86" spans="1:64" x14ac:dyDescent="0.35">
      <c r="A86" t="s">
        <v>54</v>
      </c>
      <c r="B86" t="s">
        <v>709</v>
      </c>
      <c r="C86" t="s">
        <v>55</v>
      </c>
      <c r="D86" t="s">
        <v>277</v>
      </c>
      <c r="E86" t="s">
        <v>765</v>
      </c>
      <c r="F86" t="s">
        <v>278</v>
      </c>
      <c r="G86" t="s">
        <v>766</v>
      </c>
      <c r="H86" s="1">
        <v>19607.25</v>
      </c>
      <c r="I86" s="1">
        <v>4737</v>
      </c>
      <c r="J86" s="1">
        <v>10515</v>
      </c>
      <c r="K86" s="1">
        <v>6468</v>
      </c>
      <c r="L86" s="1">
        <v>8395.855980189499</v>
      </c>
      <c r="M86" s="1">
        <v>10859.816666666668</v>
      </c>
      <c r="N86" s="1">
        <v>6468</v>
      </c>
      <c r="O86" s="1">
        <v>25776.13742745695</v>
      </c>
      <c r="P86" s="1">
        <v>10631</v>
      </c>
      <c r="Q86" s="1">
        <v>13072</v>
      </c>
      <c r="R86" s="1">
        <v>18631.10810810811</v>
      </c>
      <c r="S86" s="1">
        <v>7825.2000000000007</v>
      </c>
      <c r="T86" s="1">
        <v>11337</v>
      </c>
      <c r="U86" s="1">
        <v>25852</v>
      </c>
      <c r="V86" s="3">
        <f>_xlfn.XLOOKUP(Table2[[#This Row],[admin3Pcode]],'Inter-sector dataset'!F:F,'Inter-sector dataset'!Q:Q)</f>
        <v>1</v>
      </c>
      <c r="W86" s="3">
        <f>_xlfn.XLOOKUP(Table2[[#This Row],[admin3Pcode]],'Inter-sector dataset'!F:F,'Inter-sector dataset'!R:R)</f>
        <v>0</v>
      </c>
      <c r="X86" s="1">
        <f>IFERROR(Table2[[#This Row],[Health_PIN]]*$V86,)</f>
        <v>19607.25</v>
      </c>
      <c r="Y86" s="1">
        <f>IFERROR(Table2[[#This Row],[CCCM_PIN]]*$V86,)</f>
        <v>4737</v>
      </c>
      <c r="Z86" s="1">
        <f>IFERROR(Table2[[#This Row],[ERL_PIN]]*$V86,)</f>
        <v>10515</v>
      </c>
      <c r="AA86" s="1">
        <f>IFERROR(Table2[[#This Row],[NFI_PIN]]*$V86,)</f>
        <v>6468</v>
      </c>
      <c r="AB86" s="1">
        <f>IFERROR(Table2[[#This Row],[Nutrition_PIN]]*$V86,)</f>
        <v>8395.855980189499</v>
      </c>
      <c r="AC86" s="1">
        <f>IFERROR(Table2[[#This Row],[Education_PIN]]*$V86,)</f>
        <v>10859.816666666668</v>
      </c>
      <c r="AD86" s="1">
        <f>IFERROR(Table2[[#This Row],[Shelter_PIN]]*$V86,)</f>
        <v>6468</v>
      </c>
      <c r="AE86" s="1">
        <f>IFERROR(Table2[[#This Row],[WASH_PIN]]*$V86,)</f>
        <v>25776.13742745695</v>
      </c>
      <c r="AF86" s="1">
        <f>IFERROR(Table2[[#This Row],[WASH_acute_PIN]]*$V86,)</f>
        <v>10631</v>
      </c>
      <c r="AG86" s="1">
        <f>IFERROR(Table2[[#This Row],[Protection_PIN]]*$V86,)</f>
        <v>13072</v>
      </c>
      <c r="AH86" s="1">
        <f>IFERROR(Table2[[#This Row],[Food_PIN]]*$V86,)</f>
        <v>18631.10810810811</v>
      </c>
      <c r="AI86" s="1">
        <f>IFERROR(Table2[[#This Row],[Protection_CP_PIN]]*$V86,)</f>
        <v>7825.2000000000007</v>
      </c>
      <c r="AJ86" s="1">
        <f>IFERROR(Table2[[#This Row],[Protection_GBV_PIN]]*$V86,)</f>
        <v>11337</v>
      </c>
      <c r="AK86" s="1">
        <f>IFERROR(Table2[[#This Row],[Protection_MA_PIN]]*$V86,)</f>
        <v>25852</v>
      </c>
      <c r="AL86" s="1">
        <f>IFERROR(Table2[[#This Row],[Health_PIN]]*$W86,)</f>
        <v>0</v>
      </c>
      <c r="AM86" s="1">
        <f>IFERROR(Table2[[#This Row],[CCCM_PIN]]*$W86,)</f>
        <v>0</v>
      </c>
      <c r="AN86" s="1">
        <f>IFERROR(Table2[[#This Row],[ERL_PIN]]*$W86,)</f>
        <v>0</v>
      </c>
      <c r="AO86" s="1">
        <f>IFERROR(Table2[[#This Row],[NFI_PIN]]*$W86,)</f>
        <v>0</v>
      </c>
      <c r="AP86" s="1">
        <f>IFERROR(Table2[[#This Row],[Nutrition_PIN]]*$W86,)</f>
        <v>0</v>
      </c>
      <c r="AQ86" s="1">
        <f>IFERROR(Table2[[#This Row],[Education_PIN]]*$W86,)</f>
        <v>0</v>
      </c>
      <c r="AR86" s="1">
        <f>IFERROR(Table2[[#This Row],[Shelter_PIN]]*$W86,)</f>
        <v>0</v>
      </c>
      <c r="AS86" s="1">
        <f>IFERROR(Table2[[#This Row],[WASH_PIN]]*$W86,)</f>
        <v>0</v>
      </c>
      <c r="AT86" s="1">
        <f>IFERROR(Table2[[#This Row],[WASH_acute_PIN]]*$W86,)</f>
        <v>0</v>
      </c>
      <c r="AU86" s="1">
        <f>IFERROR(Table2[[#This Row],[Protection_PIN]]*$W86,)</f>
        <v>0</v>
      </c>
      <c r="AV86" s="1">
        <f>IFERROR(Table2[[#This Row],[Food_PIN]]*$W86,)</f>
        <v>0</v>
      </c>
      <c r="AW86" s="1">
        <f>IFERROR(Table2[[#This Row],[Protection_CP_PIN]]*$W86,)</f>
        <v>0</v>
      </c>
      <c r="AX86" s="1">
        <f>IFERROR(Table2[[#This Row],[Protection_GBV_PIN]]*$W86,)</f>
        <v>0</v>
      </c>
      <c r="AY86" s="1">
        <f>IFERROR(Table2[[#This Row],[Protection_MA_PIN]]*$W86,)</f>
        <v>0</v>
      </c>
      <c r="AZ86" s="1">
        <v>3</v>
      </c>
      <c r="BA86" s="1">
        <v>4</v>
      </c>
      <c r="BB86" s="1">
        <v>4</v>
      </c>
      <c r="BC86" s="1">
        <v>3</v>
      </c>
      <c r="BD86" s="1">
        <v>2</v>
      </c>
      <c r="BE86" s="1">
        <v>4</v>
      </c>
      <c r="BF86" s="1">
        <v>3</v>
      </c>
      <c r="BG86" s="1">
        <v>3</v>
      </c>
      <c r="BH86" s="1">
        <v>4</v>
      </c>
      <c r="BI86" s="1">
        <v>3</v>
      </c>
      <c r="BJ86" s="1">
        <v>4</v>
      </c>
      <c r="BK86" s="1">
        <v>3</v>
      </c>
      <c r="BL86" s="1">
        <v>4</v>
      </c>
    </row>
    <row r="87" spans="1:64" x14ac:dyDescent="0.35">
      <c r="A87" t="s">
        <v>6</v>
      </c>
      <c r="B87" t="s">
        <v>667</v>
      </c>
      <c r="C87" t="s">
        <v>7</v>
      </c>
      <c r="D87" t="s">
        <v>66</v>
      </c>
      <c r="E87" t="s">
        <v>767</v>
      </c>
      <c r="F87" t="s">
        <v>156</v>
      </c>
      <c r="G87" t="s">
        <v>66</v>
      </c>
      <c r="H87" s="1">
        <v>0</v>
      </c>
      <c r="I87" s="1" t="s">
        <v>665</v>
      </c>
      <c r="J87" s="1">
        <v>23600</v>
      </c>
      <c r="K87" s="1">
        <v>4213</v>
      </c>
      <c r="L87" s="1">
        <v>6002.9114153140663</v>
      </c>
      <c r="M87" s="1">
        <v>8513.1166666666668</v>
      </c>
      <c r="N87" s="1">
        <v>1764</v>
      </c>
      <c r="O87" s="1">
        <v>8330.8598942741319</v>
      </c>
      <c r="P87" s="1">
        <v>844</v>
      </c>
      <c r="Q87" s="1">
        <v>13185</v>
      </c>
      <c r="R87" s="1">
        <v>8709.0275229357794</v>
      </c>
      <c r="S87" s="1">
        <v>6891</v>
      </c>
      <c r="T87" s="1">
        <v>4269</v>
      </c>
      <c r="U87" s="1">
        <v>7795</v>
      </c>
      <c r="V87" s="3">
        <f>_xlfn.XLOOKUP(Table2[[#This Row],[admin3Pcode]],'Inter-sector dataset'!F:F,'Inter-sector dataset'!Q:Q)</f>
        <v>0</v>
      </c>
      <c r="W87" s="3">
        <f>_xlfn.XLOOKUP(Table2[[#This Row],[admin3Pcode]],'Inter-sector dataset'!F:F,'Inter-sector dataset'!R:R)</f>
        <v>0</v>
      </c>
      <c r="X87" s="1">
        <f>IFERROR(Table2[[#This Row],[Health_PIN]]*$V87,)</f>
        <v>0</v>
      </c>
      <c r="Y87" s="1">
        <f>IFERROR(Table2[[#This Row],[CCCM_PIN]]*$V87,)</f>
        <v>0</v>
      </c>
      <c r="Z87" s="1">
        <f>IFERROR(Table2[[#This Row],[ERL_PIN]]*$V87,)</f>
        <v>0</v>
      </c>
      <c r="AA87" s="1">
        <f>IFERROR(Table2[[#This Row],[NFI_PIN]]*$V87,)</f>
        <v>0</v>
      </c>
      <c r="AB87" s="1">
        <f>IFERROR(Table2[[#This Row],[Nutrition_PIN]]*$V87,)</f>
        <v>0</v>
      </c>
      <c r="AC87" s="1">
        <f>IFERROR(Table2[[#This Row],[Education_PIN]]*$V87,)</f>
        <v>0</v>
      </c>
      <c r="AD87" s="1">
        <f>IFERROR(Table2[[#This Row],[Shelter_PIN]]*$V87,)</f>
        <v>0</v>
      </c>
      <c r="AE87" s="1">
        <f>IFERROR(Table2[[#This Row],[WASH_PIN]]*$V87,)</f>
        <v>0</v>
      </c>
      <c r="AF87" s="1">
        <f>IFERROR(Table2[[#This Row],[WASH_acute_PIN]]*$V87,)</f>
        <v>0</v>
      </c>
      <c r="AG87" s="1">
        <f>IFERROR(Table2[[#This Row],[Protection_PIN]]*$V87,)</f>
        <v>0</v>
      </c>
      <c r="AH87" s="1">
        <f>IFERROR(Table2[[#This Row],[Food_PIN]]*$V87,)</f>
        <v>0</v>
      </c>
      <c r="AI87" s="1">
        <f>IFERROR(Table2[[#This Row],[Protection_CP_PIN]]*$V87,)</f>
        <v>0</v>
      </c>
      <c r="AJ87" s="1">
        <f>IFERROR(Table2[[#This Row],[Protection_GBV_PIN]]*$V87,)</f>
        <v>0</v>
      </c>
      <c r="AK87" s="1">
        <f>IFERROR(Table2[[#This Row],[Protection_MA_PIN]]*$V87,)</f>
        <v>0</v>
      </c>
      <c r="AL87" s="1">
        <f>IFERROR(Table2[[#This Row],[Health_PIN]]*$W87,)</f>
        <v>0</v>
      </c>
      <c r="AM87" s="1">
        <f>IFERROR(Table2[[#This Row],[CCCM_PIN]]*$W87,)</f>
        <v>0</v>
      </c>
      <c r="AN87" s="1">
        <f>IFERROR(Table2[[#This Row],[ERL_PIN]]*$W87,)</f>
        <v>0</v>
      </c>
      <c r="AO87" s="1">
        <f>IFERROR(Table2[[#This Row],[NFI_PIN]]*$W87,)</f>
        <v>0</v>
      </c>
      <c r="AP87" s="1">
        <f>IFERROR(Table2[[#This Row],[Nutrition_PIN]]*$W87,)</f>
        <v>0</v>
      </c>
      <c r="AQ87" s="1">
        <f>IFERROR(Table2[[#This Row],[Education_PIN]]*$W87,)</f>
        <v>0</v>
      </c>
      <c r="AR87" s="1">
        <f>IFERROR(Table2[[#This Row],[Shelter_PIN]]*$W87,)</f>
        <v>0</v>
      </c>
      <c r="AS87" s="1">
        <f>IFERROR(Table2[[#This Row],[WASH_PIN]]*$W87,)</f>
        <v>0</v>
      </c>
      <c r="AT87" s="1">
        <f>IFERROR(Table2[[#This Row],[WASH_acute_PIN]]*$W87,)</f>
        <v>0</v>
      </c>
      <c r="AU87" s="1">
        <f>IFERROR(Table2[[#This Row],[Protection_PIN]]*$W87,)</f>
        <v>0</v>
      </c>
      <c r="AV87" s="1">
        <f>IFERROR(Table2[[#This Row],[Food_PIN]]*$W87,)</f>
        <v>0</v>
      </c>
      <c r="AW87" s="1">
        <f>IFERROR(Table2[[#This Row],[Protection_CP_PIN]]*$W87,)</f>
        <v>0</v>
      </c>
      <c r="AX87" s="1">
        <f>IFERROR(Table2[[#This Row],[Protection_GBV_PIN]]*$W87,)</f>
        <v>0</v>
      </c>
      <c r="AY87" s="1">
        <f>IFERROR(Table2[[#This Row],[Protection_MA_PIN]]*$W87,)</f>
        <v>0</v>
      </c>
      <c r="AZ87" s="1">
        <v>2</v>
      </c>
      <c r="BA87" s="1">
        <v>3</v>
      </c>
      <c r="BB87" s="1">
        <v>4</v>
      </c>
      <c r="BC87" s="1">
        <v>2</v>
      </c>
      <c r="BD87" s="1">
        <v>3</v>
      </c>
      <c r="BE87" s="1">
        <v>2</v>
      </c>
      <c r="BF87" s="1">
        <v>3</v>
      </c>
      <c r="BG87" s="1">
        <v>4</v>
      </c>
      <c r="BH87" s="1">
        <v>2</v>
      </c>
      <c r="BI87" s="1">
        <v>3</v>
      </c>
      <c r="BJ87" s="1">
        <v>3</v>
      </c>
      <c r="BK87" s="1" t="s">
        <v>665</v>
      </c>
      <c r="BL87" s="1">
        <v>3</v>
      </c>
    </row>
    <row r="88" spans="1:64" x14ac:dyDescent="0.35">
      <c r="A88" t="s">
        <v>205</v>
      </c>
      <c r="B88" t="s">
        <v>723</v>
      </c>
      <c r="C88" t="s">
        <v>206</v>
      </c>
      <c r="D88" t="s">
        <v>207</v>
      </c>
      <c r="E88" t="s">
        <v>768</v>
      </c>
      <c r="F88" t="s">
        <v>432</v>
      </c>
      <c r="G88" t="s">
        <v>207</v>
      </c>
      <c r="H88" s="1">
        <v>0</v>
      </c>
      <c r="I88" s="1" t="s">
        <v>665</v>
      </c>
      <c r="J88" s="1">
        <v>26774</v>
      </c>
      <c r="K88" s="1">
        <v>5835</v>
      </c>
      <c r="L88" s="1">
        <v>8159.7547228493222</v>
      </c>
      <c r="M88" s="1">
        <v>1368.3914033341346</v>
      </c>
      <c r="N88" s="1">
        <v>2956</v>
      </c>
      <c r="O88" s="1">
        <v>25566.97310051911</v>
      </c>
      <c r="P88" s="1">
        <v>13821</v>
      </c>
      <c r="Q88" s="1">
        <v>13776</v>
      </c>
      <c r="R88" s="1">
        <v>12106.18181818182</v>
      </c>
      <c r="S88" s="1">
        <v>5850.3</v>
      </c>
      <c r="T88" s="1">
        <v>7751</v>
      </c>
      <c r="U88" s="1">
        <v>15161</v>
      </c>
      <c r="V88" s="3">
        <f>_xlfn.XLOOKUP(Table2[[#This Row],[admin3Pcode]],'Inter-sector dataset'!F:F,'Inter-sector dataset'!Q:Q)</f>
        <v>0</v>
      </c>
      <c r="W88" s="3">
        <f>_xlfn.XLOOKUP(Table2[[#This Row],[admin3Pcode]],'Inter-sector dataset'!F:F,'Inter-sector dataset'!R:R)</f>
        <v>0</v>
      </c>
      <c r="X88" s="1">
        <f>IFERROR(Table2[[#This Row],[Health_PIN]]*$V88,)</f>
        <v>0</v>
      </c>
      <c r="Y88" s="1">
        <f>IFERROR(Table2[[#This Row],[CCCM_PIN]]*$V88,)</f>
        <v>0</v>
      </c>
      <c r="Z88" s="1">
        <f>IFERROR(Table2[[#This Row],[ERL_PIN]]*$V88,)</f>
        <v>0</v>
      </c>
      <c r="AA88" s="1">
        <f>IFERROR(Table2[[#This Row],[NFI_PIN]]*$V88,)</f>
        <v>0</v>
      </c>
      <c r="AB88" s="1">
        <f>IFERROR(Table2[[#This Row],[Nutrition_PIN]]*$V88,)</f>
        <v>0</v>
      </c>
      <c r="AC88" s="1">
        <f>IFERROR(Table2[[#This Row],[Education_PIN]]*$V88,)</f>
        <v>0</v>
      </c>
      <c r="AD88" s="1">
        <f>IFERROR(Table2[[#This Row],[Shelter_PIN]]*$V88,)</f>
        <v>0</v>
      </c>
      <c r="AE88" s="1">
        <f>IFERROR(Table2[[#This Row],[WASH_PIN]]*$V88,)</f>
        <v>0</v>
      </c>
      <c r="AF88" s="1">
        <f>IFERROR(Table2[[#This Row],[WASH_acute_PIN]]*$V88,)</f>
        <v>0</v>
      </c>
      <c r="AG88" s="1">
        <f>IFERROR(Table2[[#This Row],[Protection_PIN]]*$V88,)</f>
        <v>0</v>
      </c>
      <c r="AH88" s="1">
        <f>IFERROR(Table2[[#This Row],[Food_PIN]]*$V88,)</f>
        <v>0</v>
      </c>
      <c r="AI88" s="1">
        <f>IFERROR(Table2[[#This Row],[Protection_CP_PIN]]*$V88,)</f>
        <v>0</v>
      </c>
      <c r="AJ88" s="1">
        <f>IFERROR(Table2[[#This Row],[Protection_GBV_PIN]]*$V88,)</f>
        <v>0</v>
      </c>
      <c r="AK88" s="1">
        <f>IFERROR(Table2[[#This Row],[Protection_MA_PIN]]*$V88,)</f>
        <v>0</v>
      </c>
      <c r="AL88" s="1">
        <f>IFERROR(Table2[[#This Row],[Health_PIN]]*$W88,)</f>
        <v>0</v>
      </c>
      <c r="AM88" s="1">
        <f>IFERROR(Table2[[#This Row],[CCCM_PIN]]*$W88,)</f>
        <v>0</v>
      </c>
      <c r="AN88" s="1">
        <f>IFERROR(Table2[[#This Row],[ERL_PIN]]*$W88,)</f>
        <v>0</v>
      </c>
      <c r="AO88" s="1">
        <f>IFERROR(Table2[[#This Row],[NFI_PIN]]*$W88,)</f>
        <v>0</v>
      </c>
      <c r="AP88" s="1">
        <f>IFERROR(Table2[[#This Row],[Nutrition_PIN]]*$W88,)</f>
        <v>0</v>
      </c>
      <c r="AQ88" s="1">
        <f>IFERROR(Table2[[#This Row],[Education_PIN]]*$W88,)</f>
        <v>0</v>
      </c>
      <c r="AR88" s="1">
        <f>IFERROR(Table2[[#This Row],[Shelter_PIN]]*$W88,)</f>
        <v>0</v>
      </c>
      <c r="AS88" s="1">
        <f>IFERROR(Table2[[#This Row],[WASH_PIN]]*$W88,)</f>
        <v>0</v>
      </c>
      <c r="AT88" s="1">
        <f>IFERROR(Table2[[#This Row],[WASH_acute_PIN]]*$W88,)</f>
        <v>0</v>
      </c>
      <c r="AU88" s="1">
        <f>IFERROR(Table2[[#This Row],[Protection_PIN]]*$W88,)</f>
        <v>0</v>
      </c>
      <c r="AV88" s="1">
        <f>IFERROR(Table2[[#This Row],[Food_PIN]]*$W88,)</f>
        <v>0</v>
      </c>
      <c r="AW88" s="1">
        <f>IFERROR(Table2[[#This Row],[Protection_CP_PIN]]*$W88,)</f>
        <v>0</v>
      </c>
      <c r="AX88" s="1">
        <f>IFERROR(Table2[[#This Row],[Protection_GBV_PIN]]*$W88,)</f>
        <v>0</v>
      </c>
      <c r="AY88" s="1">
        <f>IFERROR(Table2[[#This Row],[Protection_MA_PIN]]*$W88,)</f>
        <v>0</v>
      </c>
      <c r="AZ88" s="1">
        <v>2</v>
      </c>
      <c r="BA88" s="1">
        <v>3</v>
      </c>
      <c r="BB88" s="1">
        <v>3</v>
      </c>
      <c r="BC88" s="1">
        <v>3</v>
      </c>
      <c r="BD88" s="1">
        <v>3</v>
      </c>
      <c r="BE88" s="1">
        <v>2</v>
      </c>
      <c r="BF88" s="1">
        <v>3</v>
      </c>
      <c r="BG88" s="1">
        <v>4</v>
      </c>
      <c r="BH88" s="1">
        <v>3</v>
      </c>
      <c r="BI88" s="1">
        <v>3</v>
      </c>
      <c r="BJ88" s="1">
        <v>4</v>
      </c>
      <c r="BK88" s="1" t="s">
        <v>665</v>
      </c>
      <c r="BL88" s="1">
        <v>4</v>
      </c>
    </row>
    <row r="89" spans="1:64" x14ac:dyDescent="0.35">
      <c r="A89" t="s">
        <v>104</v>
      </c>
      <c r="B89" t="s">
        <v>677</v>
      </c>
      <c r="C89" t="s">
        <v>105</v>
      </c>
      <c r="D89" t="s">
        <v>460</v>
      </c>
      <c r="E89" t="s">
        <v>769</v>
      </c>
      <c r="F89" t="s">
        <v>461</v>
      </c>
      <c r="G89" t="s">
        <v>460</v>
      </c>
      <c r="H89" s="1">
        <v>20853.75</v>
      </c>
      <c r="I89" s="1" t="s">
        <v>665</v>
      </c>
      <c r="J89" s="1">
        <v>21284</v>
      </c>
      <c r="K89" s="1">
        <v>5561</v>
      </c>
      <c r="L89" s="1">
        <v>7268.691567738686</v>
      </c>
      <c r="M89" s="1">
        <v>9252.4666666666672</v>
      </c>
      <c r="N89" s="1">
        <v>5561</v>
      </c>
      <c r="O89" s="1">
        <v>14494.095744680848</v>
      </c>
      <c r="P89" s="1">
        <v>592</v>
      </c>
      <c r="Q89" s="1">
        <v>13903</v>
      </c>
      <c r="R89" s="1">
        <v>24200.648148148142</v>
      </c>
      <c r="S89" s="1">
        <v>6458.1</v>
      </c>
      <c r="T89" s="1">
        <v>8008</v>
      </c>
      <c r="U89" s="1">
        <v>27805</v>
      </c>
      <c r="V89" s="3">
        <f>_xlfn.XLOOKUP(Table2[[#This Row],[admin3Pcode]],'Inter-sector dataset'!F:F,'Inter-sector dataset'!Q:Q)</f>
        <v>0</v>
      </c>
      <c r="W89" s="3">
        <f>_xlfn.XLOOKUP(Table2[[#This Row],[admin3Pcode]],'Inter-sector dataset'!F:F,'Inter-sector dataset'!R:R)</f>
        <v>0</v>
      </c>
      <c r="X89" s="1">
        <f>IFERROR(Table2[[#This Row],[Health_PIN]]*$V89,)</f>
        <v>0</v>
      </c>
      <c r="Y89" s="1">
        <f>IFERROR(Table2[[#This Row],[CCCM_PIN]]*$V89,)</f>
        <v>0</v>
      </c>
      <c r="Z89" s="1">
        <f>IFERROR(Table2[[#This Row],[ERL_PIN]]*$V89,)</f>
        <v>0</v>
      </c>
      <c r="AA89" s="1">
        <f>IFERROR(Table2[[#This Row],[NFI_PIN]]*$V89,)</f>
        <v>0</v>
      </c>
      <c r="AB89" s="1">
        <f>IFERROR(Table2[[#This Row],[Nutrition_PIN]]*$V89,)</f>
        <v>0</v>
      </c>
      <c r="AC89" s="1">
        <f>IFERROR(Table2[[#This Row],[Education_PIN]]*$V89,)</f>
        <v>0</v>
      </c>
      <c r="AD89" s="1">
        <f>IFERROR(Table2[[#This Row],[Shelter_PIN]]*$V89,)</f>
        <v>0</v>
      </c>
      <c r="AE89" s="1">
        <f>IFERROR(Table2[[#This Row],[WASH_PIN]]*$V89,)</f>
        <v>0</v>
      </c>
      <c r="AF89" s="1">
        <f>IFERROR(Table2[[#This Row],[WASH_acute_PIN]]*$V89,)</f>
        <v>0</v>
      </c>
      <c r="AG89" s="1">
        <f>IFERROR(Table2[[#This Row],[Protection_PIN]]*$V89,)</f>
        <v>0</v>
      </c>
      <c r="AH89" s="1">
        <f>IFERROR(Table2[[#This Row],[Food_PIN]]*$V89,)</f>
        <v>0</v>
      </c>
      <c r="AI89" s="1">
        <f>IFERROR(Table2[[#This Row],[Protection_CP_PIN]]*$V89,)</f>
        <v>0</v>
      </c>
      <c r="AJ89" s="1">
        <f>IFERROR(Table2[[#This Row],[Protection_GBV_PIN]]*$V89,)</f>
        <v>0</v>
      </c>
      <c r="AK89" s="1">
        <f>IFERROR(Table2[[#This Row],[Protection_MA_PIN]]*$V89,)</f>
        <v>0</v>
      </c>
      <c r="AL89" s="1">
        <f>IFERROR(Table2[[#This Row],[Health_PIN]]*$W89,)</f>
        <v>0</v>
      </c>
      <c r="AM89" s="1">
        <f>IFERROR(Table2[[#This Row],[CCCM_PIN]]*$W89,)</f>
        <v>0</v>
      </c>
      <c r="AN89" s="1">
        <f>IFERROR(Table2[[#This Row],[ERL_PIN]]*$W89,)</f>
        <v>0</v>
      </c>
      <c r="AO89" s="1">
        <f>IFERROR(Table2[[#This Row],[NFI_PIN]]*$W89,)</f>
        <v>0</v>
      </c>
      <c r="AP89" s="1">
        <f>IFERROR(Table2[[#This Row],[Nutrition_PIN]]*$W89,)</f>
        <v>0</v>
      </c>
      <c r="AQ89" s="1">
        <f>IFERROR(Table2[[#This Row],[Education_PIN]]*$W89,)</f>
        <v>0</v>
      </c>
      <c r="AR89" s="1">
        <f>IFERROR(Table2[[#This Row],[Shelter_PIN]]*$W89,)</f>
        <v>0</v>
      </c>
      <c r="AS89" s="1">
        <f>IFERROR(Table2[[#This Row],[WASH_PIN]]*$W89,)</f>
        <v>0</v>
      </c>
      <c r="AT89" s="1">
        <f>IFERROR(Table2[[#This Row],[WASH_acute_PIN]]*$W89,)</f>
        <v>0</v>
      </c>
      <c r="AU89" s="1">
        <f>IFERROR(Table2[[#This Row],[Protection_PIN]]*$W89,)</f>
        <v>0</v>
      </c>
      <c r="AV89" s="1">
        <f>IFERROR(Table2[[#This Row],[Food_PIN]]*$W89,)</f>
        <v>0</v>
      </c>
      <c r="AW89" s="1">
        <f>IFERROR(Table2[[#This Row],[Protection_CP_PIN]]*$W89,)</f>
        <v>0</v>
      </c>
      <c r="AX89" s="1">
        <f>IFERROR(Table2[[#This Row],[Protection_GBV_PIN]]*$W89,)</f>
        <v>0</v>
      </c>
      <c r="AY89" s="1">
        <f>IFERROR(Table2[[#This Row],[Protection_MA_PIN]]*$W89,)</f>
        <v>0</v>
      </c>
      <c r="AZ89" s="1">
        <v>2</v>
      </c>
      <c r="BA89" s="1">
        <v>3</v>
      </c>
      <c r="BB89" s="1">
        <v>4</v>
      </c>
      <c r="BC89" s="1">
        <v>2</v>
      </c>
      <c r="BD89" s="1">
        <v>3</v>
      </c>
      <c r="BE89" s="1">
        <v>4</v>
      </c>
      <c r="BF89" s="1">
        <v>3</v>
      </c>
      <c r="BG89" s="1">
        <v>4</v>
      </c>
      <c r="BH89" s="1">
        <v>3</v>
      </c>
      <c r="BI89" s="1">
        <v>3</v>
      </c>
      <c r="BJ89" s="1">
        <v>4</v>
      </c>
      <c r="BK89" s="1" t="s">
        <v>665</v>
      </c>
      <c r="BL89" s="1">
        <v>3</v>
      </c>
    </row>
    <row r="90" spans="1:64" x14ac:dyDescent="0.35">
      <c r="A90" t="s">
        <v>326</v>
      </c>
      <c r="B90" t="s">
        <v>726</v>
      </c>
      <c r="C90" t="s">
        <v>327</v>
      </c>
      <c r="D90" t="s">
        <v>503</v>
      </c>
      <c r="E90" t="s">
        <v>770</v>
      </c>
      <c r="F90" t="s">
        <v>504</v>
      </c>
      <c r="G90" t="s">
        <v>503</v>
      </c>
      <c r="H90" s="1">
        <v>21386.25</v>
      </c>
      <c r="I90" s="1" t="s">
        <v>665</v>
      </c>
      <c r="J90" s="1">
        <v>27280</v>
      </c>
      <c r="K90" s="1">
        <v>6334</v>
      </c>
      <c r="L90" s="1">
        <v>8396.0784405897175</v>
      </c>
      <c r="M90" s="1">
        <v>1705.9410146201301</v>
      </c>
      <c r="N90" s="1">
        <v>8690</v>
      </c>
      <c r="O90" s="1">
        <v>13231.777961452937</v>
      </c>
      <c r="P90" s="1">
        <v>1751</v>
      </c>
      <c r="Q90" s="1">
        <v>14258</v>
      </c>
      <c r="R90" s="1">
        <v>19665.517241379308</v>
      </c>
      <c r="S90" s="1">
        <v>4751.6000000000004</v>
      </c>
      <c r="T90" s="1">
        <v>11793</v>
      </c>
      <c r="U90" s="1">
        <v>28463</v>
      </c>
      <c r="V90" s="3">
        <f>_xlfn.XLOOKUP(Table2[[#This Row],[admin3Pcode]],'Inter-sector dataset'!F:F,'Inter-sector dataset'!Q:Q)</f>
        <v>0</v>
      </c>
      <c r="W90" s="3">
        <f>_xlfn.XLOOKUP(Table2[[#This Row],[admin3Pcode]],'Inter-sector dataset'!F:F,'Inter-sector dataset'!R:R)</f>
        <v>0</v>
      </c>
      <c r="X90" s="1">
        <f>IFERROR(Table2[[#This Row],[Health_PIN]]*$V90,)</f>
        <v>0</v>
      </c>
      <c r="Y90" s="1">
        <f>IFERROR(Table2[[#This Row],[CCCM_PIN]]*$V90,)</f>
        <v>0</v>
      </c>
      <c r="Z90" s="1">
        <f>IFERROR(Table2[[#This Row],[ERL_PIN]]*$V90,)</f>
        <v>0</v>
      </c>
      <c r="AA90" s="1">
        <f>IFERROR(Table2[[#This Row],[NFI_PIN]]*$V90,)</f>
        <v>0</v>
      </c>
      <c r="AB90" s="1">
        <f>IFERROR(Table2[[#This Row],[Nutrition_PIN]]*$V90,)</f>
        <v>0</v>
      </c>
      <c r="AC90" s="1">
        <f>IFERROR(Table2[[#This Row],[Education_PIN]]*$V90,)</f>
        <v>0</v>
      </c>
      <c r="AD90" s="1">
        <f>IFERROR(Table2[[#This Row],[Shelter_PIN]]*$V90,)</f>
        <v>0</v>
      </c>
      <c r="AE90" s="1">
        <f>IFERROR(Table2[[#This Row],[WASH_PIN]]*$V90,)</f>
        <v>0</v>
      </c>
      <c r="AF90" s="1">
        <f>IFERROR(Table2[[#This Row],[WASH_acute_PIN]]*$V90,)</f>
        <v>0</v>
      </c>
      <c r="AG90" s="1">
        <f>IFERROR(Table2[[#This Row],[Protection_PIN]]*$V90,)</f>
        <v>0</v>
      </c>
      <c r="AH90" s="1">
        <f>IFERROR(Table2[[#This Row],[Food_PIN]]*$V90,)</f>
        <v>0</v>
      </c>
      <c r="AI90" s="1">
        <f>IFERROR(Table2[[#This Row],[Protection_CP_PIN]]*$V90,)</f>
        <v>0</v>
      </c>
      <c r="AJ90" s="1">
        <f>IFERROR(Table2[[#This Row],[Protection_GBV_PIN]]*$V90,)</f>
        <v>0</v>
      </c>
      <c r="AK90" s="1">
        <f>IFERROR(Table2[[#This Row],[Protection_MA_PIN]]*$V90,)</f>
        <v>0</v>
      </c>
      <c r="AL90" s="1">
        <f>IFERROR(Table2[[#This Row],[Health_PIN]]*$W90,)</f>
        <v>0</v>
      </c>
      <c r="AM90" s="1">
        <f>IFERROR(Table2[[#This Row],[CCCM_PIN]]*$W90,)</f>
        <v>0</v>
      </c>
      <c r="AN90" s="1">
        <f>IFERROR(Table2[[#This Row],[ERL_PIN]]*$W90,)</f>
        <v>0</v>
      </c>
      <c r="AO90" s="1">
        <f>IFERROR(Table2[[#This Row],[NFI_PIN]]*$W90,)</f>
        <v>0</v>
      </c>
      <c r="AP90" s="1">
        <f>IFERROR(Table2[[#This Row],[Nutrition_PIN]]*$W90,)</f>
        <v>0</v>
      </c>
      <c r="AQ90" s="1">
        <f>IFERROR(Table2[[#This Row],[Education_PIN]]*$W90,)</f>
        <v>0</v>
      </c>
      <c r="AR90" s="1">
        <f>IFERROR(Table2[[#This Row],[Shelter_PIN]]*$W90,)</f>
        <v>0</v>
      </c>
      <c r="AS90" s="1">
        <f>IFERROR(Table2[[#This Row],[WASH_PIN]]*$W90,)</f>
        <v>0</v>
      </c>
      <c r="AT90" s="1">
        <f>IFERROR(Table2[[#This Row],[WASH_acute_PIN]]*$W90,)</f>
        <v>0</v>
      </c>
      <c r="AU90" s="1">
        <f>IFERROR(Table2[[#This Row],[Protection_PIN]]*$W90,)</f>
        <v>0</v>
      </c>
      <c r="AV90" s="1">
        <f>IFERROR(Table2[[#This Row],[Food_PIN]]*$W90,)</f>
        <v>0</v>
      </c>
      <c r="AW90" s="1">
        <f>IFERROR(Table2[[#This Row],[Protection_CP_PIN]]*$W90,)</f>
        <v>0</v>
      </c>
      <c r="AX90" s="1">
        <f>IFERROR(Table2[[#This Row],[Protection_GBV_PIN]]*$W90,)</f>
        <v>0</v>
      </c>
      <c r="AY90" s="1">
        <f>IFERROR(Table2[[#This Row],[Protection_MA_PIN]]*$W90,)</f>
        <v>0</v>
      </c>
      <c r="AZ90" s="1">
        <v>4</v>
      </c>
      <c r="BA90" s="1">
        <v>3</v>
      </c>
      <c r="BB90" s="1">
        <v>4</v>
      </c>
      <c r="BC90" s="1">
        <v>4</v>
      </c>
      <c r="BD90" s="1">
        <v>4</v>
      </c>
      <c r="BE90" s="1">
        <v>4</v>
      </c>
      <c r="BF90" s="1">
        <v>3</v>
      </c>
      <c r="BG90" s="1">
        <v>3</v>
      </c>
      <c r="BH90" s="1">
        <v>4</v>
      </c>
      <c r="BI90" s="1">
        <v>3</v>
      </c>
      <c r="BJ90" s="1">
        <v>4</v>
      </c>
      <c r="BK90" s="1" t="s">
        <v>665</v>
      </c>
      <c r="BL90" s="1">
        <v>3</v>
      </c>
    </row>
    <row r="91" spans="1:64" x14ac:dyDescent="0.35">
      <c r="A91" t="s">
        <v>54</v>
      </c>
      <c r="B91" t="s">
        <v>709</v>
      </c>
      <c r="C91" t="s">
        <v>55</v>
      </c>
      <c r="D91" t="s">
        <v>474</v>
      </c>
      <c r="E91" t="s">
        <v>771</v>
      </c>
      <c r="F91" t="s">
        <v>475</v>
      </c>
      <c r="G91" t="s">
        <v>474</v>
      </c>
      <c r="H91" s="1">
        <v>22293</v>
      </c>
      <c r="I91" s="1">
        <v>9275</v>
      </c>
      <c r="J91" s="1">
        <v>18826</v>
      </c>
      <c r="K91" s="1">
        <v>7936</v>
      </c>
      <c r="L91" s="1">
        <v>10447.127129048491</v>
      </c>
      <c r="M91" s="1">
        <v>4661.2012422186726</v>
      </c>
      <c r="N91" s="1">
        <v>7426</v>
      </c>
      <c r="O91" s="1">
        <v>28794.507924456677</v>
      </c>
      <c r="P91" s="1">
        <v>16776</v>
      </c>
      <c r="Q91" s="1">
        <v>14862</v>
      </c>
      <c r="R91" s="1">
        <v>22393.772727272728</v>
      </c>
      <c r="S91" s="1">
        <v>8753.2000000000007</v>
      </c>
      <c r="T91" s="1">
        <v>12631</v>
      </c>
      <c r="U91" s="1">
        <v>29495</v>
      </c>
      <c r="V91" s="3">
        <f>_xlfn.XLOOKUP(Table2[[#This Row],[admin3Pcode]],'Inter-sector dataset'!F:F,'Inter-sector dataset'!Q:Q)</f>
        <v>1</v>
      </c>
      <c r="W91" s="3">
        <f>_xlfn.XLOOKUP(Table2[[#This Row],[admin3Pcode]],'Inter-sector dataset'!F:F,'Inter-sector dataset'!R:R)</f>
        <v>0</v>
      </c>
      <c r="X91" s="1">
        <f>IFERROR(Table2[[#This Row],[Health_PIN]]*$V91,)</f>
        <v>22293</v>
      </c>
      <c r="Y91" s="1">
        <f>IFERROR(Table2[[#This Row],[CCCM_PIN]]*$V91,)</f>
        <v>9275</v>
      </c>
      <c r="Z91" s="1">
        <f>IFERROR(Table2[[#This Row],[ERL_PIN]]*$V91,)</f>
        <v>18826</v>
      </c>
      <c r="AA91" s="1">
        <f>IFERROR(Table2[[#This Row],[NFI_PIN]]*$V91,)</f>
        <v>7936</v>
      </c>
      <c r="AB91" s="1">
        <f>IFERROR(Table2[[#This Row],[Nutrition_PIN]]*$V91,)</f>
        <v>10447.127129048491</v>
      </c>
      <c r="AC91" s="1">
        <f>IFERROR(Table2[[#This Row],[Education_PIN]]*$V91,)</f>
        <v>4661.2012422186726</v>
      </c>
      <c r="AD91" s="1">
        <f>IFERROR(Table2[[#This Row],[Shelter_PIN]]*$V91,)</f>
        <v>7426</v>
      </c>
      <c r="AE91" s="1">
        <f>IFERROR(Table2[[#This Row],[WASH_PIN]]*$V91,)</f>
        <v>28794.507924456677</v>
      </c>
      <c r="AF91" s="1">
        <f>IFERROR(Table2[[#This Row],[WASH_acute_PIN]]*$V91,)</f>
        <v>16776</v>
      </c>
      <c r="AG91" s="1">
        <f>IFERROR(Table2[[#This Row],[Protection_PIN]]*$V91,)</f>
        <v>14862</v>
      </c>
      <c r="AH91" s="1">
        <f>IFERROR(Table2[[#This Row],[Food_PIN]]*$V91,)</f>
        <v>22393.772727272728</v>
      </c>
      <c r="AI91" s="1">
        <f>IFERROR(Table2[[#This Row],[Protection_CP_PIN]]*$V91,)</f>
        <v>8753.2000000000007</v>
      </c>
      <c r="AJ91" s="1">
        <f>IFERROR(Table2[[#This Row],[Protection_GBV_PIN]]*$V91,)</f>
        <v>12631</v>
      </c>
      <c r="AK91" s="1">
        <f>IFERROR(Table2[[#This Row],[Protection_MA_PIN]]*$V91,)</f>
        <v>29495</v>
      </c>
      <c r="AL91" s="1">
        <f>IFERROR(Table2[[#This Row],[Health_PIN]]*$W91,)</f>
        <v>0</v>
      </c>
      <c r="AM91" s="1">
        <f>IFERROR(Table2[[#This Row],[CCCM_PIN]]*$W91,)</f>
        <v>0</v>
      </c>
      <c r="AN91" s="1">
        <f>IFERROR(Table2[[#This Row],[ERL_PIN]]*$W91,)</f>
        <v>0</v>
      </c>
      <c r="AO91" s="1">
        <f>IFERROR(Table2[[#This Row],[NFI_PIN]]*$W91,)</f>
        <v>0</v>
      </c>
      <c r="AP91" s="1">
        <f>IFERROR(Table2[[#This Row],[Nutrition_PIN]]*$W91,)</f>
        <v>0</v>
      </c>
      <c r="AQ91" s="1">
        <f>IFERROR(Table2[[#This Row],[Education_PIN]]*$W91,)</f>
        <v>0</v>
      </c>
      <c r="AR91" s="1">
        <f>IFERROR(Table2[[#This Row],[Shelter_PIN]]*$W91,)</f>
        <v>0</v>
      </c>
      <c r="AS91" s="1">
        <f>IFERROR(Table2[[#This Row],[WASH_PIN]]*$W91,)</f>
        <v>0</v>
      </c>
      <c r="AT91" s="1">
        <f>IFERROR(Table2[[#This Row],[WASH_acute_PIN]]*$W91,)</f>
        <v>0</v>
      </c>
      <c r="AU91" s="1">
        <f>IFERROR(Table2[[#This Row],[Protection_PIN]]*$W91,)</f>
        <v>0</v>
      </c>
      <c r="AV91" s="1">
        <f>IFERROR(Table2[[#This Row],[Food_PIN]]*$W91,)</f>
        <v>0</v>
      </c>
      <c r="AW91" s="1">
        <f>IFERROR(Table2[[#This Row],[Protection_CP_PIN]]*$W91,)</f>
        <v>0</v>
      </c>
      <c r="AX91" s="1">
        <f>IFERROR(Table2[[#This Row],[Protection_GBV_PIN]]*$W91,)</f>
        <v>0</v>
      </c>
      <c r="AY91" s="1">
        <f>IFERROR(Table2[[#This Row],[Protection_MA_PIN]]*$W91,)</f>
        <v>0</v>
      </c>
      <c r="AZ91" s="1">
        <v>3</v>
      </c>
      <c r="BA91" s="1">
        <v>4</v>
      </c>
      <c r="BB91" s="1">
        <v>4</v>
      </c>
      <c r="BC91" s="1">
        <v>3</v>
      </c>
      <c r="BD91" s="1">
        <v>3</v>
      </c>
      <c r="BE91" s="1">
        <v>4</v>
      </c>
      <c r="BF91" s="1">
        <v>3</v>
      </c>
      <c r="BG91" s="1">
        <v>3</v>
      </c>
      <c r="BH91" s="1">
        <v>4</v>
      </c>
      <c r="BI91" s="1">
        <v>3</v>
      </c>
      <c r="BJ91" s="1">
        <v>4</v>
      </c>
      <c r="BK91" s="1">
        <v>4</v>
      </c>
      <c r="BL91" s="1">
        <v>4</v>
      </c>
    </row>
    <row r="92" spans="1:64" x14ac:dyDescent="0.35">
      <c r="A92" t="s">
        <v>28</v>
      </c>
      <c r="B92" t="s">
        <v>761</v>
      </c>
      <c r="C92" t="s">
        <v>29</v>
      </c>
      <c r="D92" t="s">
        <v>40</v>
      </c>
      <c r="E92" t="s">
        <v>772</v>
      </c>
      <c r="F92" t="s">
        <v>41</v>
      </c>
      <c r="G92" t="s">
        <v>40</v>
      </c>
      <c r="H92" s="1">
        <v>14877</v>
      </c>
      <c r="I92" s="1" t="s">
        <v>665</v>
      </c>
      <c r="J92" s="1">
        <v>26959</v>
      </c>
      <c r="K92" s="1">
        <v>8085</v>
      </c>
      <c r="L92" s="1">
        <v>9122.0773746602044</v>
      </c>
      <c r="M92" s="1">
        <v>12985.383333333333</v>
      </c>
      <c r="N92" s="1">
        <v>4268</v>
      </c>
      <c r="O92" s="1">
        <v>3383.9226190476206</v>
      </c>
      <c r="P92" s="1">
        <v>323</v>
      </c>
      <c r="Q92" s="1">
        <v>14877</v>
      </c>
      <c r="R92" s="1">
        <v>16502.218487394959</v>
      </c>
      <c r="S92" s="1">
        <v>3268.1000000000004</v>
      </c>
      <c r="T92" s="1">
        <v>8147</v>
      </c>
      <c r="U92" s="1">
        <v>29754</v>
      </c>
      <c r="V92" s="3">
        <f>_xlfn.XLOOKUP(Table2[[#This Row],[admin3Pcode]],'Inter-sector dataset'!F:F,'Inter-sector dataset'!Q:Q)</f>
        <v>0</v>
      </c>
      <c r="W92" s="3">
        <f>_xlfn.XLOOKUP(Table2[[#This Row],[admin3Pcode]],'Inter-sector dataset'!F:F,'Inter-sector dataset'!R:R)</f>
        <v>0</v>
      </c>
      <c r="X92" s="1">
        <f>IFERROR(Table2[[#This Row],[Health_PIN]]*$V92,)</f>
        <v>0</v>
      </c>
      <c r="Y92" s="1">
        <f>IFERROR(Table2[[#This Row],[CCCM_PIN]]*$V92,)</f>
        <v>0</v>
      </c>
      <c r="Z92" s="1">
        <f>IFERROR(Table2[[#This Row],[ERL_PIN]]*$V92,)</f>
        <v>0</v>
      </c>
      <c r="AA92" s="1">
        <f>IFERROR(Table2[[#This Row],[NFI_PIN]]*$V92,)</f>
        <v>0</v>
      </c>
      <c r="AB92" s="1">
        <f>IFERROR(Table2[[#This Row],[Nutrition_PIN]]*$V92,)</f>
        <v>0</v>
      </c>
      <c r="AC92" s="1">
        <f>IFERROR(Table2[[#This Row],[Education_PIN]]*$V92,)</f>
        <v>0</v>
      </c>
      <c r="AD92" s="1">
        <f>IFERROR(Table2[[#This Row],[Shelter_PIN]]*$V92,)</f>
        <v>0</v>
      </c>
      <c r="AE92" s="1">
        <f>IFERROR(Table2[[#This Row],[WASH_PIN]]*$V92,)</f>
        <v>0</v>
      </c>
      <c r="AF92" s="1">
        <f>IFERROR(Table2[[#This Row],[WASH_acute_PIN]]*$V92,)</f>
        <v>0</v>
      </c>
      <c r="AG92" s="1">
        <f>IFERROR(Table2[[#This Row],[Protection_PIN]]*$V92,)</f>
        <v>0</v>
      </c>
      <c r="AH92" s="1">
        <f>IFERROR(Table2[[#This Row],[Food_PIN]]*$V92,)</f>
        <v>0</v>
      </c>
      <c r="AI92" s="1">
        <f>IFERROR(Table2[[#This Row],[Protection_CP_PIN]]*$V92,)</f>
        <v>0</v>
      </c>
      <c r="AJ92" s="1">
        <f>IFERROR(Table2[[#This Row],[Protection_GBV_PIN]]*$V92,)</f>
        <v>0</v>
      </c>
      <c r="AK92" s="1">
        <f>IFERROR(Table2[[#This Row],[Protection_MA_PIN]]*$V92,)</f>
        <v>0</v>
      </c>
      <c r="AL92" s="1">
        <f>IFERROR(Table2[[#This Row],[Health_PIN]]*$W92,)</f>
        <v>0</v>
      </c>
      <c r="AM92" s="1">
        <f>IFERROR(Table2[[#This Row],[CCCM_PIN]]*$W92,)</f>
        <v>0</v>
      </c>
      <c r="AN92" s="1">
        <f>IFERROR(Table2[[#This Row],[ERL_PIN]]*$W92,)</f>
        <v>0</v>
      </c>
      <c r="AO92" s="1">
        <f>IFERROR(Table2[[#This Row],[NFI_PIN]]*$W92,)</f>
        <v>0</v>
      </c>
      <c r="AP92" s="1">
        <f>IFERROR(Table2[[#This Row],[Nutrition_PIN]]*$W92,)</f>
        <v>0</v>
      </c>
      <c r="AQ92" s="1">
        <f>IFERROR(Table2[[#This Row],[Education_PIN]]*$W92,)</f>
        <v>0</v>
      </c>
      <c r="AR92" s="1">
        <f>IFERROR(Table2[[#This Row],[Shelter_PIN]]*$W92,)</f>
        <v>0</v>
      </c>
      <c r="AS92" s="1">
        <f>IFERROR(Table2[[#This Row],[WASH_PIN]]*$W92,)</f>
        <v>0</v>
      </c>
      <c r="AT92" s="1">
        <f>IFERROR(Table2[[#This Row],[WASH_acute_PIN]]*$W92,)</f>
        <v>0</v>
      </c>
      <c r="AU92" s="1">
        <f>IFERROR(Table2[[#This Row],[Protection_PIN]]*$W92,)</f>
        <v>0</v>
      </c>
      <c r="AV92" s="1">
        <f>IFERROR(Table2[[#This Row],[Food_PIN]]*$W92,)</f>
        <v>0</v>
      </c>
      <c r="AW92" s="1">
        <f>IFERROR(Table2[[#This Row],[Protection_CP_PIN]]*$W92,)</f>
        <v>0</v>
      </c>
      <c r="AX92" s="1">
        <f>IFERROR(Table2[[#This Row],[Protection_GBV_PIN]]*$W92,)</f>
        <v>0</v>
      </c>
      <c r="AY92" s="1">
        <f>IFERROR(Table2[[#This Row],[Protection_MA_PIN]]*$W92,)</f>
        <v>0</v>
      </c>
      <c r="AZ92" s="1">
        <v>2</v>
      </c>
      <c r="BA92" s="1">
        <v>4</v>
      </c>
      <c r="BB92" s="1">
        <v>3</v>
      </c>
      <c r="BC92" s="1">
        <v>3</v>
      </c>
      <c r="BD92" s="1">
        <v>3</v>
      </c>
      <c r="BE92" s="1">
        <v>3</v>
      </c>
      <c r="BF92" s="1">
        <v>3</v>
      </c>
      <c r="BG92" s="1">
        <v>2</v>
      </c>
      <c r="BH92" s="1">
        <v>3</v>
      </c>
      <c r="BI92" s="1">
        <v>3</v>
      </c>
      <c r="BJ92" s="1">
        <v>3</v>
      </c>
      <c r="BK92" s="1" t="s">
        <v>665</v>
      </c>
      <c r="BL92" s="1">
        <v>2</v>
      </c>
    </row>
    <row r="93" spans="1:64" x14ac:dyDescent="0.35">
      <c r="A93" t="s">
        <v>168</v>
      </c>
      <c r="B93" t="s">
        <v>681</v>
      </c>
      <c r="C93" t="s">
        <v>169</v>
      </c>
      <c r="D93" t="s">
        <v>436</v>
      </c>
      <c r="E93" t="s">
        <v>773</v>
      </c>
      <c r="F93" t="s">
        <v>437</v>
      </c>
      <c r="G93" t="s">
        <v>774</v>
      </c>
      <c r="H93" s="1">
        <v>24027.75</v>
      </c>
      <c r="I93" s="1" t="s">
        <v>665</v>
      </c>
      <c r="J93" s="1">
        <v>28345</v>
      </c>
      <c r="K93" s="1">
        <v>9611</v>
      </c>
      <c r="L93" s="1">
        <v>10765.775936951839</v>
      </c>
      <c r="M93" s="1">
        <v>5864.1308109135825</v>
      </c>
      <c r="N93" s="1">
        <v>6418</v>
      </c>
      <c r="O93" s="1">
        <v>27218.922345999574</v>
      </c>
      <c r="P93" s="1">
        <v>4321</v>
      </c>
      <c r="Q93" s="1">
        <v>16019</v>
      </c>
      <c r="R93" s="1">
        <v>20460.60504201681</v>
      </c>
      <c r="S93" s="1">
        <v>6518</v>
      </c>
      <c r="T93" s="1">
        <v>14465</v>
      </c>
      <c r="U93" s="1">
        <v>18920</v>
      </c>
      <c r="V93" s="3">
        <f>_xlfn.XLOOKUP(Table2[[#This Row],[admin3Pcode]],'Inter-sector dataset'!F:F,'Inter-sector dataset'!Q:Q)</f>
        <v>0</v>
      </c>
      <c r="W93" s="3">
        <f>_xlfn.XLOOKUP(Table2[[#This Row],[admin3Pcode]],'Inter-sector dataset'!F:F,'Inter-sector dataset'!R:R)</f>
        <v>0</v>
      </c>
      <c r="X93" s="1">
        <f>IFERROR(Table2[[#This Row],[Health_PIN]]*$V93,)</f>
        <v>0</v>
      </c>
      <c r="Y93" s="1">
        <f>IFERROR(Table2[[#This Row],[CCCM_PIN]]*$V93,)</f>
        <v>0</v>
      </c>
      <c r="Z93" s="1">
        <f>IFERROR(Table2[[#This Row],[ERL_PIN]]*$V93,)</f>
        <v>0</v>
      </c>
      <c r="AA93" s="1">
        <f>IFERROR(Table2[[#This Row],[NFI_PIN]]*$V93,)</f>
        <v>0</v>
      </c>
      <c r="AB93" s="1">
        <f>IFERROR(Table2[[#This Row],[Nutrition_PIN]]*$V93,)</f>
        <v>0</v>
      </c>
      <c r="AC93" s="1">
        <f>IFERROR(Table2[[#This Row],[Education_PIN]]*$V93,)</f>
        <v>0</v>
      </c>
      <c r="AD93" s="1">
        <f>IFERROR(Table2[[#This Row],[Shelter_PIN]]*$V93,)</f>
        <v>0</v>
      </c>
      <c r="AE93" s="1">
        <f>IFERROR(Table2[[#This Row],[WASH_PIN]]*$V93,)</f>
        <v>0</v>
      </c>
      <c r="AF93" s="1">
        <f>IFERROR(Table2[[#This Row],[WASH_acute_PIN]]*$V93,)</f>
        <v>0</v>
      </c>
      <c r="AG93" s="1">
        <f>IFERROR(Table2[[#This Row],[Protection_PIN]]*$V93,)</f>
        <v>0</v>
      </c>
      <c r="AH93" s="1">
        <f>IFERROR(Table2[[#This Row],[Food_PIN]]*$V93,)</f>
        <v>0</v>
      </c>
      <c r="AI93" s="1">
        <f>IFERROR(Table2[[#This Row],[Protection_CP_PIN]]*$V93,)</f>
        <v>0</v>
      </c>
      <c r="AJ93" s="1">
        <f>IFERROR(Table2[[#This Row],[Protection_GBV_PIN]]*$V93,)</f>
        <v>0</v>
      </c>
      <c r="AK93" s="1">
        <f>IFERROR(Table2[[#This Row],[Protection_MA_PIN]]*$V93,)</f>
        <v>0</v>
      </c>
      <c r="AL93" s="1">
        <f>IFERROR(Table2[[#This Row],[Health_PIN]]*$W93,)</f>
        <v>0</v>
      </c>
      <c r="AM93" s="1">
        <f>IFERROR(Table2[[#This Row],[CCCM_PIN]]*$W93,)</f>
        <v>0</v>
      </c>
      <c r="AN93" s="1">
        <f>IFERROR(Table2[[#This Row],[ERL_PIN]]*$W93,)</f>
        <v>0</v>
      </c>
      <c r="AO93" s="1">
        <f>IFERROR(Table2[[#This Row],[NFI_PIN]]*$W93,)</f>
        <v>0</v>
      </c>
      <c r="AP93" s="1">
        <f>IFERROR(Table2[[#This Row],[Nutrition_PIN]]*$W93,)</f>
        <v>0</v>
      </c>
      <c r="AQ93" s="1">
        <f>IFERROR(Table2[[#This Row],[Education_PIN]]*$W93,)</f>
        <v>0</v>
      </c>
      <c r="AR93" s="1">
        <f>IFERROR(Table2[[#This Row],[Shelter_PIN]]*$W93,)</f>
        <v>0</v>
      </c>
      <c r="AS93" s="1">
        <f>IFERROR(Table2[[#This Row],[WASH_PIN]]*$W93,)</f>
        <v>0</v>
      </c>
      <c r="AT93" s="1">
        <f>IFERROR(Table2[[#This Row],[WASH_acute_PIN]]*$W93,)</f>
        <v>0</v>
      </c>
      <c r="AU93" s="1">
        <f>IFERROR(Table2[[#This Row],[Protection_PIN]]*$W93,)</f>
        <v>0</v>
      </c>
      <c r="AV93" s="1">
        <f>IFERROR(Table2[[#This Row],[Food_PIN]]*$W93,)</f>
        <v>0</v>
      </c>
      <c r="AW93" s="1">
        <f>IFERROR(Table2[[#This Row],[Protection_CP_PIN]]*$W93,)</f>
        <v>0</v>
      </c>
      <c r="AX93" s="1">
        <f>IFERROR(Table2[[#This Row],[Protection_GBV_PIN]]*$W93,)</f>
        <v>0</v>
      </c>
      <c r="AY93" s="1">
        <f>IFERROR(Table2[[#This Row],[Protection_MA_PIN]]*$W93,)</f>
        <v>0</v>
      </c>
      <c r="AZ93" s="1">
        <v>3</v>
      </c>
      <c r="BA93" s="1">
        <v>4</v>
      </c>
      <c r="BB93" s="1">
        <v>4</v>
      </c>
      <c r="BC93" s="1">
        <v>3</v>
      </c>
      <c r="BD93" s="1">
        <v>3</v>
      </c>
      <c r="BE93" s="1">
        <v>4</v>
      </c>
      <c r="BF93" s="1">
        <v>3</v>
      </c>
      <c r="BG93" s="1">
        <v>3</v>
      </c>
      <c r="BH93" s="1">
        <v>4</v>
      </c>
      <c r="BI93" s="1">
        <v>3</v>
      </c>
      <c r="BJ93" s="1">
        <v>4</v>
      </c>
      <c r="BK93" s="1" t="s">
        <v>665</v>
      </c>
      <c r="BL93" s="1">
        <v>3</v>
      </c>
    </row>
    <row r="94" spans="1:64" x14ac:dyDescent="0.35">
      <c r="A94" t="s">
        <v>104</v>
      </c>
      <c r="B94" t="s">
        <v>677</v>
      </c>
      <c r="C94" t="s">
        <v>105</v>
      </c>
      <c r="D94" t="s">
        <v>106</v>
      </c>
      <c r="E94" t="s">
        <v>775</v>
      </c>
      <c r="F94" t="s">
        <v>345</v>
      </c>
      <c r="G94" t="s">
        <v>106</v>
      </c>
      <c r="H94" s="1">
        <v>16613</v>
      </c>
      <c r="I94" s="1" t="s">
        <v>665</v>
      </c>
      <c r="J94" s="1">
        <v>20548</v>
      </c>
      <c r="K94" s="1">
        <v>7850</v>
      </c>
      <c r="L94" s="1">
        <v>6663.0396705201501</v>
      </c>
      <c r="M94" s="1">
        <v>10143.200000000001</v>
      </c>
      <c r="N94" s="1">
        <v>13240</v>
      </c>
      <c r="O94" s="1">
        <v>21821.328799869843</v>
      </c>
      <c r="P94" s="1">
        <v>10938</v>
      </c>
      <c r="Q94" s="1">
        <v>16613</v>
      </c>
      <c r="R94" s="1">
        <v>5766.4958677685954</v>
      </c>
      <c r="S94" s="1">
        <v>7876.5</v>
      </c>
      <c r="T94" s="1">
        <v>14608</v>
      </c>
      <c r="U94" s="1">
        <v>33226</v>
      </c>
      <c r="V94" s="3">
        <f>_xlfn.XLOOKUP(Table2[[#This Row],[admin3Pcode]],'Inter-sector dataset'!F:F,'Inter-sector dataset'!Q:Q)</f>
        <v>0</v>
      </c>
      <c r="W94" s="3">
        <f>_xlfn.XLOOKUP(Table2[[#This Row],[admin3Pcode]],'Inter-sector dataset'!F:F,'Inter-sector dataset'!R:R)</f>
        <v>0</v>
      </c>
      <c r="X94" s="1">
        <f>IFERROR(Table2[[#This Row],[Health_PIN]]*$V94,)</f>
        <v>0</v>
      </c>
      <c r="Y94" s="1">
        <f>IFERROR(Table2[[#This Row],[CCCM_PIN]]*$V94,)</f>
        <v>0</v>
      </c>
      <c r="Z94" s="1">
        <f>IFERROR(Table2[[#This Row],[ERL_PIN]]*$V94,)</f>
        <v>0</v>
      </c>
      <c r="AA94" s="1">
        <f>IFERROR(Table2[[#This Row],[NFI_PIN]]*$V94,)</f>
        <v>0</v>
      </c>
      <c r="AB94" s="1">
        <f>IFERROR(Table2[[#This Row],[Nutrition_PIN]]*$V94,)</f>
        <v>0</v>
      </c>
      <c r="AC94" s="1">
        <f>IFERROR(Table2[[#This Row],[Education_PIN]]*$V94,)</f>
        <v>0</v>
      </c>
      <c r="AD94" s="1">
        <f>IFERROR(Table2[[#This Row],[Shelter_PIN]]*$V94,)</f>
        <v>0</v>
      </c>
      <c r="AE94" s="1">
        <f>IFERROR(Table2[[#This Row],[WASH_PIN]]*$V94,)</f>
        <v>0</v>
      </c>
      <c r="AF94" s="1">
        <f>IFERROR(Table2[[#This Row],[WASH_acute_PIN]]*$V94,)</f>
        <v>0</v>
      </c>
      <c r="AG94" s="1">
        <f>IFERROR(Table2[[#This Row],[Protection_PIN]]*$V94,)</f>
        <v>0</v>
      </c>
      <c r="AH94" s="1">
        <f>IFERROR(Table2[[#This Row],[Food_PIN]]*$V94,)</f>
        <v>0</v>
      </c>
      <c r="AI94" s="1">
        <f>IFERROR(Table2[[#This Row],[Protection_CP_PIN]]*$V94,)</f>
        <v>0</v>
      </c>
      <c r="AJ94" s="1">
        <f>IFERROR(Table2[[#This Row],[Protection_GBV_PIN]]*$V94,)</f>
        <v>0</v>
      </c>
      <c r="AK94" s="1">
        <f>IFERROR(Table2[[#This Row],[Protection_MA_PIN]]*$V94,)</f>
        <v>0</v>
      </c>
      <c r="AL94" s="1">
        <f>IFERROR(Table2[[#This Row],[Health_PIN]]*$W94,)</f>
        <v>0</v>
      </c>
      <c r="AM94" s="1">
        <f>IFERROR(Table2[[#This Row],[CCCM_PIN]]*$W94,)</f>
        <v>0</v>
      </c>
      <c r="AN94" s="1">
        <f>IFERROR(Table2[[#This Row],[ERL_PIN]]*$W94,)</f>
        <v>0</v>
      </c>
      <c r="AO94" s="1">
        <f>IFERROR(Table2[[#This Row],[NFI_PIN]]*$W94,)</f>
        <v>0</v>
      </c>
      <c r="AP94" s="1">
        <f>IFERROR(Table2[[#This Row],[Nutrition_PIN]]*$W94,)</f>
        <v>0</v>
      </c>
      <c r="AQ94" s="1">
        <f>IFERROR(Table2[[#This Row],[Education_PIN]]*$W94,)</f>
        <v>0</v>
      </c>
      <c r="AR94" s="1">
        <f>IFERROR(Table2[[#This Row],[Shelter_PIN]]*$W94,)</f>
        <v>0</v>
      </c>
      <c r="AS94" s="1">
        <f>IFERROR(Table2[[#This Row],[WASH_PIN]]*$W94,)</f>
        <v>0</v>
      </c>
      <c r="AT94" s="1">
        <f>IFERROR(Table2[[#This Row],[WASH_acute_PIN]]*$W94,)</f>
        <v>0</v>
      </c>
      <c r="AU94" s="1">
        <f>IFERROR(Table2[[#This Row],[Protection_PIN]]*$W94,)</f>
        <v>0</v>
      </c>
      <c r="AV94" s="1">
        <f>IFERROR(Table2[[#This Row],[Food_PIN]]*$W94,)</f>
        <v>0</v>
      </c>
      <c r="AW94" s="1">
        <f>IFERROR(Table2[[#This Row],[Protection_CP_PIN]]*$W94,)</f>
        <v>0</v>
      </c>
      <c r="AX94" s="1">
        <f>IFERROR(Table2[[#This Row],[Protection_GBV_PIN]]*$W94,)</f>
        <v>0</v>
      </c>
      <c r="AY94" s="1">
        <f>IFERROR(Table2[[#This Row],[Protection_MA_PIN]]*$W94,)</f>
        <v>0</v>
      </c>
      <c r="AZ94" s="1">
        <v>4</v>
      </c>
      <c r="BA94" s="1">
        <v>3</v>
      </c>
      <c r="BB94" s="1">
        <v>3</v>
      </c>
      <c r="BC94" s="1">
        <v>3</v>
      </c>
      <c r="BD94" s="1">
        <v>3</v>
      </c>
      <c r="BE94" s="1">
        <v>3</v>
      </c>
      <c r="BF94" s="1">
        <v>3</v>
      </c>
      <c r="BG94" s="1">
        <v>4</v>
      </c>
      <c r="BH94" s="1">
        <v>4</v>
      </c>
      <c r="BI94" s="1">
        <v>3</v>
      </c>
      <c r="BJ94" s="1">
        <v>3</v>
      </c>
      <c r="BK94" s="1" t="s">
        <v>665</v>
      </c>
      <c r="BL94" s="1">
        <v>4</v>
      </c>
    </row>
    <row r="95" spans="1:64" x14ac:dyDescent="0.35">
      <c r="A95" t="s">
        <v>6</v>
      </c>
      <c r="B95" t="s">
        <v>667</v>
      </c>
      <c r="C95" t="s">
        <v>7</v>
      </c>
      <c r="D95" t="s">
        <v>70</v>
      </c>
      <c r="E95" t="s">
        <v>776</v>
      </c>
      <c r="F95" t="s">
        <v>138</v>
      </c>
      <c r="G95" t="s">
        <v>70</v>
      </c>
      <c r="H95" s="1">
        <v>18450.5</v>
      </c>
      <c r="I95" s="1" t="s">
        <v>665</v>
      </c>
      <c r="J95" s="1">
        <v>30363</v>
      </c>
      <c r="K95" s="1">
        <v>7380</v>
      </c>
      <c r="L95" s="1">
        <v>7425.8852557264136</v>
      </c>
      <c r="M95" s="1">
        <v>12532.266666666666</v>
      </c>
      <c r="N95" s="1">
        <v>4270</v>
      </c>
      <c r="O95" s="1">
        <v>13086.149436875365</v>
      </c>
      <c r="P95" s="1">
        <v>0</v>
      </c>
      <c r="Q95" s="1">
        <v>18451</v>
      </c>
      <c r="R95" s="1">
        <v>28359.10185185185</v>
      </c>
      <c r="S95" s="1">
        <v>8984.4</v>
      </c>
      <c r="T95" s="1">
        <v>10311</v>
      </c>
      <c r="U95" s="1" t="s">
        <v>665</v>
      </c>
      <c r="V95" s="3">
        <f>_xlfn.XLOOKUP(Table2[[#This Row],[admin3Pcode]],'Inter-sector dataset'!F:F,'Inter-sector dataset'!Q:Q)</f>
        <v>0</v>
      </c>
      <c r="W95" s="3">
        <f>_xlfn.XLOOKUP(Table2[[#This Row],[admin3Pcode]],'Inter-sector dataset'!F:F,'Inter-sector dataset'!R:R)</f>
        <v>0</v>
      </c>
      <c r="X95" s="1">
        <f>IFERROR(Table2[[#This Row],[Health_PIN]]*$V95,)</f>
        <v>0</v>
      </c>
      <c r="Y95" s="1">
        <f>IFERROR(Table2[[#This Row],[CCCM_PIN]]*$V95,)</f>
        <v>0</v>
      </c>
      <c r="Z95" s="1">
        <f>IFERROR(Table2[[#This Row],[ERL_PIN]]*$V95,)</f>
        <v>0</v>
      </c>
      <c r="AA95" s="1">
        <f>IFERROR(Table2[[#This Row],[NFI_PIN]]*$V95,)</f>
        <v>0</v>
      </c>
      <c r="AB95" s="1">
        <f>IFERROR(Table2[[#This Row],[Nutrition_PIN]]*$V95,)</f>
        <v>0</v>
      </c>
      <c r="AC95" s="1">
        <f>IFERROR(Table2[[#This Row],[Education_PIN]]*$V95,)</f>
        <v>0</v>
      </c>
      <c r="AD95" s="1">
        <f>IFERROR(Table2[[#This Row],[Shelter_PIN]]*$V95,)</f>
        <v>0</v>
      </c>
      <c r="AE95" s="1">
        <f>IFERROR(Table2[[#This Row],[WASH_PIN]]*$V95,)</f>
        <v>0</v>
      </c>
      <c r="AF95" s="1">
        <f>IFERROR(Table2[[#This Row],[WASH_acute_PIN]]*$V95,)</f>
        <v>0</v>
      </c>
      <c r="AG95" s="1">
        <f>IFERROR(Table2[[#This Row],[Protection_PIN]]*$V95,)</f>
        <v>0</v>
      </c>
      <c r="AH95" s="1">
        <f>IFERROR(Table2[[#This Row],[Food_PIN]]*$V95,)</f>
        <v>0</v>
      </c>
      <c r="AI95" s="1">
        <f>IFERROR(Table2[[#This Row],[Protection_CP_PIN]]*$V95,)</f>
        <v>0</v>
      </c>
      <c r="AJ95" s="1">
        <f>IFERROR(Table2[[#This Row],[Protection_GBV_PIN]]*$V95,)</f>
        <v>0</v>
      </c>
      <c r="AK95" s="1">
        <f>IFERROR(Table2[[#This Row],[Protection_MA_PIN]]*$V95,)</f>
        <v>0</v>
      </c>
      <c r="AL95" s="1">
        <f>IFERROR(Table2[[#This Row],[Health_PIN]]*$W95,)</f>
        <v>0</v>
      </c>
      <c r="AM95" s="1">
        <f>IFERROR(Table2[[#This Row],[CCCM_PIN]]*$W95,)</f>
        <v>0</v>
      </c>
      <c r="AN95" s="1">
        <f>IFERROR(Table2[[#This Row],[ERL_PIN]]*$W95,)</f>
        <v>0</v>
      </c>
      <c r="AO95" s="1">
        <f>IFERROR(Table2[[#This Row],[NFI_PIN]]*$W95,)</f>
        <v>0</v>
      </c>
      <c r="AP95" s="1">
        <f>IFERROR(Table2[[#This Row],[Nutrition_PIN]]*$W95,)</f>
        <v>0</v>
      </c>
      <c r="AQ95" s="1">
        <f>IFERROR(Table2[[#This Row],[Education_PIN]]*$W95,)</f>
        <v>0</v>
      </c>
      <c r="AR95" s="1">
        <f>IFERROR(Table2[[#This Row],[Shelter_PIN]]*$W95,)</f>
        <v>0</v>
      </c>
      <c r="AS95" s="1">
        <f>IFERROR(Table2[[#This Row],[WASH_PIN]]*$W95,)</f>
        <v>0</v>
      </c>
      <c r="AT95" s="1">
        <f>IFERROR(Table2[[#This Row],[WASH_acute_PIN]]*$W95,)</f>
        <v>0</v>
      </c>
      <c r="AU95" s="1">
        <f>IFERROR(Table2[[#This Row],[Protection_PIN]]*$W95,)</f>
        <v>0</v>
      </c>
      <c r="AV95" s="1">
        <f>IFERROR(Table2[[#This Row],[Food_PIN]]*$W95,)</f>
        <v>0</v>
      </c>
      <c r="AW95" s="1">
        <f>IFERROR(Table2[[#This Row],[Protection_CP_PIN]]*$W95,)</f>
        <v>0</v>
      </c>
      <c r="AX95" s="1">
        <f>IFERROR(Table2[[#This Row],[Protection_GBV_PIN]]*$W95,)</f>
        <v>0</v>
      </c>
      <c r="AY95" s="1">
        <f>IFERROR(Table2[[#This Row],[Protection_MA_PIN]]*$W95,)</f>
        <v>0</v>
      </c>
      <c r="AZ95" s="1">
        <v>2</v>
      </c>
      <c r="BA95" s="1">
        <v>3</v>
      </c>
      <c r="BB95" s="1">
        <v>4</v>
      </c>
      <c r="BC95" s="1">
        <v>2</v>
      </c>
      <c r="BD95" s="1">
        <v>3</v>
      </c>
      <c r="BE95" s="1">
        <v>3</v>
      </c>
      <c r="BF95" s="1">
        <v>3</v>
      </c>
      <c r="BG95" s="1">
        <v>4</v>
      </c>
      <c r="BH95" s="1">
        <v>3</v>
      </c>
      <c r="BI95" s="1">
        <v>3</v>
      </c>
      <c r="BJ95" s="1">
        <v>4</v>
      </c>
      <c r="BK95" s="1" t="s">
        <v>665</v>
      </c>
      <c r="BL95" s="1">
        <v>3</v>
      </c>
    </row>
    <row r="96" spans="1:64" x14ac:dyDescent="0.35">
      <c r="A96" t="s">
        <v>200</v>
      </c>
      <c r="B96" t="s">
        <v>683</v>
      </c>
      <c r="C96" t="s">
        <v>201</v>
      </c>
      <c r="D96" t="s">
        <v>420</v>
      </c>
      <c r="E96" t="s">
        <v>777</v>
      </c>
      <c r="F96" t="s">
        <v>421</v>
      </c>
      <c r="G96" t="s">
        <v>420</v>
      </c>
      <c r="H96" s="1">
        <v>37184</v>
      </c>
      <c r="I96" s="1">
        <v>3795</v>
      </c>
      <c r="J96" s="1">
        <v>36472</v>
      </c>
      <c r="K96" s="1">
        <v>7666</v>
      </c>
      <c r="L96" s="1">
        <v>10695.416931573469</v>
      </c>
      <c r="M96" s="1">
        <v>7789.8734455366757</v>
      </c>
      <c r="N96" s="1">
        <v>7666</v>
      </c>
      <c r="O96" s="1">
        <v>37183.999999999993</v>
      </c>
      <c r="P96" s="1">
        <v>37184</v>
      </c>
      <c r="Q96" s="1">
        <v>18592</v>
      </c>
      <c r="R96" s="1">
        <v>29032.945454545454</v>
      </c>
      <c r="S96" s="1">
        <v>9922.7999999999993</v>
      </c>
      <c r="T96" s="1">
        <v>18109</v>
      </c>
      <c r="U96" s="1">
        <v>26721</v>
      </c>
      <c r="V96" s="3">
        <f>_xlfn.XLOOKUP(Table2[[#This Row],[admin3Pcode]],'Inter-sector dataset'!F:F,'Inter-sector dataset'!Q:Q)</f>
        <v>0</v>
      </c>
      <c r="W96" s="3">
        <f>_xlfn.XLOOKUP(Table2[[#This Row],[admin3Pcode]],'Inter-sector dataset'!F:F,'Inter-sector dataset'!R:R)</f>
        <v>0</v>
      </c>
      <c r="X96" s="1">
        <f>IFERROR(Table2[[#This Row],[Health_PIN]]*$V96,)</f>
        <v>0</v>
      </c>
      <c r="Y96" s="1">
        <f>IFERROR(Table2[[#This Row],[CCCM_PIN]]*$V96,)</f>
        <v>0</v>
      </c>
      <c r="Z96" s="1">
        <f>IFERROR(Table2[[#This Row],[ERL_PIN]]*$V96,)</f>
        <v>0</v>
      </c>
      <c r="AA96" s="1">
        <f>IFERROR(Table2[[#This Row],[NFI_PIN]]*$V96,)</f>
        <v>0</v>
      </c>
      <c r="AB96" s="1">
        <f>IFERROR(Table2[[#This Row],[Nutrition_PIN]]*$V96,)</f>
        <v>0</v>
      </c>
      <c r="AC96" s="1">
        <f>IFERROR(Table2[[#This Row],[Education_PIN]]*$V96,)</f>
        <v>0</v>
      </c>
      <c r="AD96" s="1">
        <f>IFERROR(Table2[[#This Row],[Shelter_PIN]]*$V96,)</f>
        <v>0</v>
      </c>
      <c r="AE96" s="1">
        <f>IFERROR(Table2[[#This Row],[WASH_PIN]]*$V96,)</f>
        <v>0</v>
      </c>
      <c r="AF96" s="1">
        <f>IFERROR(Table2[[#This Row],[WASH_acute_PIN]]*$V96,)</f>
        <v>0</v>
      </c>
      <c r="AG96" s="1">
        <f>IFERROR(Table2[[#This Row],[Protection_PIN]]*$V96,)</f>
        <v>0</v>
      </c>
      <c r="AH96" s="1">
        <f>IFERROR(Table2[[#This Row],[Food_PIN]]*$V96,)</f>
        <v>0</v>
      </c>
      <c r="AI96" s="1">
        <f>IFERROR(Table2[[#This Row],[Protection_CP_PIN]]*$V96,)</f>
        <v>0</v>
      </c>
      <c r="AJ96" s="1">
        <f>IFERROR(Table2[[#This Row],[Protection_GBV_PIN]]*$V96,)</f>
        <v>0</v>
      </c>
      <c r="AK96" s="1">
        <f>IFERROR(Table2[[#This Row],[Protection_MA_PIN]]*$V96,)</f>
        <v>0</v>
      </c>
      <c r="AL96" s="1">
        <f>IFERROR(Table2[[#This Row],[Health_PIN]]*$W96,)</f>
        <v>0</v>
      </c>
      <c r="AM96" s="1">
        <f>IFERROR(Table2[[#This Row],[CCCM_PIN]]*$W96,)</f>
        <v>0</v>
      </c>
      <c r="AN96" s="1">
        <f>IFERROR(Table2[[#This Row],[ERL_PIN]]*$W96,)</f>
        <v>0</v>
      </c>
      <c r="AO96" s="1">
        <f>IFERROR(Table2[[#This Row],[NFI_PIN]]*$W96,)</f>
        <v>0</v>
      </c>
      <c r="AP96" s="1">
        <f>IFERROR(Table2[[#This Row],[Nutrition_PIN]]*$W96,)</f>
        <v>0</v>
      </c>
      <c r="AQ96" s="1">
        <f>IFERROR(Table2[[#This Row],[Education_PIN]]*$W96,)</f>
        <v>0</v>
      </c>
      <c r="AR96" s="1">
        <f>IFERROR(Table2[[#This Row],[Shelter_PIN]]*$W96,)</f>
        <v>0</v>
      </c>
      <c r="AS96" s="1">
        <f>IFERROR(Table2[[#This Row],[WASH_PIN]]*$W96,)</f>
        <v>0</v>
      </c>
      <c r="AT96" s="1">
        <f>IFERROR(Table2[[#This Row],[WASH_acute_PIN]]*$W96,)</f>
        <v>0</v>
      </c>
      <c r="AU96" s="1">
        <f>IFERROR(Table2[[#This Row],[Protection_PIN]]*$W96,)</f>
        <v>0</v>
      </c>
      <c r="AV96" s="1">
        <f>IFERROR(Table2[[#This Row],[Food_PIN]]*$W96,)</f>
        <v>0</v>
      </c>
      <c r="AW96" s="1">
        <f>IFERROR(Table2[[#This Row],[Protection_CP_PIN]]*$W96,)</f>
        <v>0</v>
      </c>
      <c r="AX96" s="1">
        <f>IFERROR(Table2[[#This Row],[Protection_GBV_PIN]]*$W96,)</f>
        <v>0</v>
      </c>
      <c r="AY96" s="1">
        <f>IFERROR(Table2[[#This Row],[Protection_MA_PIN]]*$W96,)</f>
        <v>0</v>
      </c>
      <c r="AZ96" s="1">
        <v>3</v>
      </c>
      <c r="BA96" s="1">
        <v>3</v>
      </c>
      <c r="BB96" s="1">
        <v>4</v>
      </c>
      <c r="BC96" s="1">
        <v>3</v>
      </c>
      <c r="BD96" s="1">
        <v>4</v>
      </c>
      <c r="BE96" s="1">
        <v>5</v>
      </c>
      <c r="BF96" s="1">
        <v>3</v>
      </c>
      <c r="BG96" s="1">
        <v>4</v>
      </c>
      <c r="BH96" s="1">
        <v>5</v>
      </c>
      <c r="BI96" s="1">
        <v>3</v>
      </c>
      <c r="BJ96" s="1">
        <v>4</v>
      </c>
      <c r="BK96" s="1">
        <v>3</v>
      </c>
      <c r="BL96" s="1">
        <v>4</v>
      </c>
    </row>
    <row r="97" spans="1:64" x14ac:dyDescent="0.35">
      <c r="A97" t="s">
        <v>28</v>
      </c>
      <c r="B97" t="s">
        <v>761</v>
      </c>
      <c r="C97" t="s">
        <v>29</v>
      </c>
      <c r="D97" t="s">
        <v>390</v>
      </c>
      <c r="E97" t="s">
        <v>778</v>
      </c>
      <c r="F97" t="s">
        <v>391</v>
      </c>
      <c r="G97" t="s">
        <v>390</v>
      </c>
      <c r="H97" s="1">
        <v>29667</v>
      </c>
      <c r="I97" s="1" t="s">
        <v>665</v>
      </c>
      <c r="J97" s="1">
        <v>39556</v>
      </c>
      <c r="K97" s="1">
        <v>11867</v>
      </c>
      <c r="L97" s="1">
        <v>12987.045541729596</v>
      </c>
      <c r="M97" s="1">
        <v>15324.333333333334</v>
      </c>
      <c r="N97" s="1">
        <v>11867</v>
      </c>
      <c r="O97" s="1">
        <v>24015.070625012304</v>
      </c>
      <c r="P97" s="1">
        <v>5134</v>
      </c>
      <c r="Q97" s="1">
        <v>19778</v>
      </c>
      <c r="R97" s="1">
        <v>16330.458715596331</v>
      </c>
      <c r="S97" s="1">
        <v>8102.8</v>
      </c>
      <c r="T97" s="1">
        <v>11685</v>
      </c>
      <c r="U97" s="1">
        <v>36226</v>
      </c>
      <c r="V97" s="3">
        <f>_xlfn.XLOOKUP(Table2[[#This Row],[admin3Pcode]],'Inter-sector dataset'!F:F,'Inter-sector dataset'!Q:Q)</f>
        <v>0</v>
      </c>
      <c r="W97" s="3">
        <f>_xlfn.XLOOKUP(Table2[[#This Row],[admin3Pcode]],'Inter-sector dataset'!F:F,'Inter-sector dataset'!R:R)</f>
        <v>0</v>
      </c>
      <c r="X97" s="1">
        <f>IFERROR(Table2[[#This Row],[Health_PIN]]*$V97,)</f>
        <v>0</v>
      </c>
      <c r="Y97" s="1">
        <f>IFERROR(Table2[[#This Row],[CCCM_PIN]]*$V97,)</f>
        <v>0</v>
      </c>
      <c r="Z97" s="1">
        <f>IFERROR(Table2[[#This Row],[ERL_PIN]]*$V97,)</f>
        <v>0</v>
      </c>
      <c r="AA97" s="1">
        <f>IFERROR(Table2[[#This Row],[NFI_PIN]]*$V97,)</f>
        <v>0</v>
      </c>
      <c r="AB97" s="1">
        <f>IFERROR(Table2[[#This Row],[Nutrition_PIN]]*$V97,)</f>
        <v>0</v>
      </c>
      <c r="AC97" s="1">
        <f>IFERROR(Table2[[#This Row],[Education_PIN]]*$V97,)</f>
        <v>0</v>
      </c>
      <c r="AD97" s="1">
        <f>IFERROR(Table2[[#This Row],[Shelter_PIN]]*$V97,)</f>
        <v>0</v>
      </c>
      <c r="AE97" s="1">
        <f>IFERROR(Table2[[#This Row],[WASH_PIN]]*$V97,)</f>
        <v>0</v>
      </c>
      <c r="AF97" s="1">
        <f>IFERROR(Table2[[#This Row],[WASH_acute_PIN]]*$V97,)</f>
        <v>0</v>
      </c>
      <c r="AG97" s="1">
        <f>IFERROR(Table2[[#This Row],[Protection_PIN]]*$V97,)</f>
        <v>0</v>
      </c>
      <c r="AH97" s="1">
        <f>IFERROR(Table2[[#This Row],[Food_PIN]]*$V97,)</f>
        <v>0</v>
      </c>
      <c r="AI97" s="1">
        <f>IFERROR(Table2[[#This Row],[Protection_CP_PIN]]*$V97,)</f>
        <v>0</v>
      </c>
      <c r="AJ97" s="1">
        <f>IFERROR(Table2[[#This Row],[Protection_GBV_PIN]]*$V97,)</f>
        <v>0</v>
      </c>
      <c r="AK97" s="1">
        <f>IFERROR(Table2[[#This Row],[Protection_MA_PIN]]*$V97,)</f>
        <v>0</v>
      </c>
      <c r="AL97" s="1">
        <f>IFERROR(Table2[[#This Row],[Health_PIN]]*$W97,)</f>
        <v>0</v>
      </c>
      <c r="AM97" s="1">
        <f>IFERROR(Table2[[#This Row],[CCCM_PIN]]*$W97,)</f>
        <v>0</v>
      </c>
      <c r="AN97" s="1">
        <f>IFERROR(Table2[[#This Row],[ERL_PIN]]*$W97,)</f>
        <v>0</v>
      </c>
      <c r="AO97" s="1">
        <f>IFERROR(Table2[[#This Row],[NFI_PIN]]*$W97,)</f>
        <v>0</v>
      </c>
      <c r="AP97" s="1">
        <f>IFERROR(Table2[[#This Row],[Nutrition_PIN]]*$W97,)</f>
        <v>0</v>
      </c>
      <c r="AQ97" s="1">
        <f>IFERROR(Table2[[#This Row],[Education_PIN]]*$W97,)</f>
        <v>0</v>
      </c>
      <c r="AR97" s="1">
        <f>IFERROR(Table2[[#This Row],[Shelter_PIN]]*$W97,)</f>
        <v>0</v>
      </c>
      <c r="AS97" s="1">
        <f>IFERROR(Table2[[#This Row],[WASH_PIN]]*$W97,)</f>
        <v>0</v>
      </c>
      <c r="AT97" s="1">
        <f>IFERROR(Table2[[#This Row],[WASH_acute_PIN]]*$W97,)</f>
        <v>0</v>
      </c>
      <c r="AU97" s="1">
        <f>IFERROR(Table2[[#This Row],[Protection_PIN]]*$W97,)</f>
        <v>0</v>
      </c>
      <c r="AV97" s="1">
        <f>IFERROR(Table2[[#This Row],[Food_PIN]]*$W97,)</f>
        <v>0</v>
      </c>
      <c r="AW97" s="1">
        <f>IFERROR(Table2[[#This Row],[Protection_CP_PIN]]*$W97,)</f>
        <v>0</v>
      </c>
      <c r="AX97" s="1">
        <f>IFERROR(Table2[[#This Row],[Protection_GBV_PIN]]*$W97,)</f>
        <v>0</v>
      </c>
      <c r="AY97" s="1">
        <f>IFERROR(Table2[[#This Row],[Protection_MA_PIN]]*$W97,)</f>
        <v>0</v>
      </c>
      <c r="AZ97" s="1">
        <v>3</v>
      </c>
      <c r="BA97" s="1">
        <v>4</v>
      </c>
      <c r="BB97" s="1">
        <v>4</v>
      </c>
      <c r="BC97" s="1">
        <v>3</v>
      </c>
      <c r="BD97" s="1">
        <v>4</v>
      </c>
      <c r="BE97" s="1">
        <v>4</v>
      </c>
      <c r="BF97" s="1">
        <v>3</v>
      </c>
      <c r="BG97" s="1">
        <v>3</v>
      </c>
      <c r="BH97" s="1">
        <v>3</v>
      </c>
      <c r="BI97" s="1">
        <v>3</v>
      </c>
      <c r="BJ97" s="1">
        <v>3</v>
      </c>
      <c r="BK97" s="1" t="s">
        <v>665</v>
      </c>
      <c r="BL97" s="1">
        <v>3</v>
      </c>
    </row>
    <row r="98" spans="1:64" x14ac:dyDescent="0.35">
      <c r="A98" t="s">
        <v>168</v>
      </c>
      <c r="B98" t="s">
        <v>681</v>
      </c>
      <c r="C98" t="s">
        <v>169</v>
      </c>
      <c r="D98" t="s">
        <v>220</v>
      </c>
      <c r="E98" t="s">
        <v>779</v>
      </c>
      <c r="F98" t="s">
        <v>221</v>
      </c>
      <c r="G98" t="s">
        <v>220</v>
      </c>
      <c r="H98" s="1">
        <v>20007</v>
      </c>
      <c r="I98" s="1" t="s">
        <v>665</v>
      </c>
      <c r="J98" s="1">
        <v>39252</v>
      </c>
      <c r="K98" s="1">
        <v>8003</v>
      </c>
      <c r="L98" s="1">
        <v>9033.7504273926352</v>
      </c>
      <c r="M98" s="1">
        <v>15636.916666666666</v>
      </c>
      <c r="N98" s="1">
        <v>0</v>
      </c>
      <c r="O98" s="1">
        <v>39051.800000000003</v>
      </c>
      <c r="P98" s="1">
        <v>7950</v>
      </c>
      <c r="Q98" s="1">
        <v>20007</v>
      </c>
      <c r="R98" s="1">
        <v>19636.5</v>
      </c>
      <c r="S98" s="1">
        <v>6848</v>
      </c>
      <c r="T98" s="1">
        <v>10884</v>
      </c>
      <c r="U98" s="1">
        <v>2409</v>
      </c>
      <c r="V98" s="3">
        <f>_xlfn.XLOOKUP(Table2[[#This Row],[admin3Pcode]],'Inter-sector dataset'!F:F,'Inter-sector dataset'!Q:Q)</f>
        <v>0</v>
      </c>
      <c r="W98" s="3">
        <f>_xlfn.XLOOKUP(Table2[[#This Row],[admin3Pcode]],'Inter-sector dataset'!F:F,'Inter-sector dataset'!R:R)</f>
        <v>0</v>
      </c>
      <c r="X98" s="1">
        <f>IFERROR(Table2[[#This Row],[Health_PIN]]*$V98,)</f>
        <v>0</v>
      </c>
      <c r="Y98" s="1">
        <f>IFERROR(Table2[[#This Row],[CCCM_PIN]]*$V98,)</f>
        <v>0</v>
      </c>
      <c r="Z98" s="1">
        <f>IFERROR(Table2[[#This Row],[ERL_PIN]]*$V98,)</f>
        <v>0</v>
      </c>
      <c r="AA98" s="1">
        <f>IFERROR(Table2[[#This Row],[NFI_PIN]]*$V98,)</f>
        <v>0</v>
      </c>
      <c r="AB98" s="1">
        <f>IFERROR(Table2[[#This Row],[Nutrition_PIN]]*$V98,)</f>
        <v>0</v>
      </c>
      <c r="AC98" s="1">
        <f>IFERROR(Table2[[#This Row],[Education_PIN]]*$V98,)</f>
        <v>0</v>
      </c>
      <c r="AD98" s="1">
        <f>IFERROR(Table2[[#This Row],[Shelter_PIN]]*$V98,)</f>
        <v>0</v>
      </c>
      <c r="AE98" s="1">
        <f>IFERROR(Table2[[#This Row],[WASH_PIN]]*$V98,)</f>
        <v>0</v>
      </c>
      <c r="AF98" s="1">
        <f>IFERROR(Table2[[#This Row],[WASH_acute_PIN]]*$V98,)</f>
        <v>0</v>
      </c>
      <c r="AG98" s="1">
        <f>IFERROR(Table2[[#This Row],[Protection_PIN]]*$V98,)</f>
        <v>0</v>
      </c>
      <c r="AH98" s="1">
        <f>IFERROR(Table2[[#This Row],[Food_PIN]]*$V98,)</f>
        <v>0</v>
      </c>
      <c r="AI98" s="1">
        <f>IFERROR(Table2[[#This Row],[Protection_CP_PIN]]*$V98,)</f>
        <v>0</v>
      </c>
      <c r="AJ98" s="1">
        <f>IFERROR(Table2[[#This Row],[Protection_GBV_PIN]]*$V98,)</f>
        <v>0</v>
      </c>
      <c r="AK98" s="1">
        <f>IFERROR(Table2[[#This Row],[Protection_MA_PIN]]*$V98,)</f>
        <v>0</v>
      </c>
      <c r="AL98" s="1">
        <f>IFERROR(Table2[[#This Row],[Health_PIN]]*$W98,)</f>
        <v>0</v>
      </c>
      <c r="AM98" s="1">
        <f>IFERROR(Table2[[#This Row],[CCCM_PIN]]*$W98,)</f>
        <v>0</v>
      </c>
      <c r="AN98" s="1">
        <f>IFERROR(Table2[[#This Row],[ERL_PIN]]*$W98,)</f>
        <v>0</v>
      </c>
      <c r="AO98" s="1">
        <f>IFERROR(Table2[[#This Row],[NFI_PIN]]*$W98,)</f>
        <v>0</v>
      </c>
      <c r="AP98" s="1">
        <f>IFERROR(Table2[[#This Row],[Nutrition_PIN]]*$W98,)</f>
        <v>0</v>
      </c>
      <c r="AQ98" s="1">
        <f>IFERROR(Table2[[#This Row],[Education_PIN]]*$W98,)</f>
        <v>0</v>
      </c>
      <c r="AR98" s="1">
        <f>IFERROR(Table2[[#This Row],[Shelter_PIN]]*$W98,)</f>
        <v>0</v>
      </c>
      <c r="AS98" s="1">
        <f>IFERROR(Table2[[#This Row],[WASH_PIN]]*$W98,)</f>
        <v>0</v>
      </c>
      <c r="AT98" s="1">
        <f>IFERROR(Table2[[#This Row],[WASH_acute_PIN]]*$W98,)</f>
        <v>0</v>
      </c>
      <c r="AU98" s="1">
        <f>IFERROR(Table2[[#This Row],[Protection_PIN]]*$W98,)</f>
        <v>0</v>
      </c>
      <c r="AV98" s="1">
        <f>IFERROR(Table2[[#This Row],[Food_PIN]]*$W98,)</f>
        <v>0</v>
      </c>
      <c r="AW98" s="1">
        <f>IFERROR(Table2[[#This Row],[Protection_CP_PIN]]*$W98,)</f>
        <v>0</v>
      </c>
      <c r="AX98" s="1">
        <f>IFERROR(Table2[[#This Row],[Protection_GBV_PIN]]*$W98,)</f>
        <v>0</v>
      </c>
      <c r="AY98" s="1">
        <f>IFERROR(Table2[[#This Row],[Protection_MA_PIN]]*$W98,)</f>
        <v>0</v>
      </c>
      <c r="AZ98" s="1">
        <v>1</v>
      </c>
      <c r="BA98" s="1">
        <v>4</v>
      </c>
      <c r="BB98" s="1">
        <v>4</v>
      </c>
      <c r="BC98" s="1">
        <v>2</v>
      </c>
      <c r="BD98" s="1">
        <v>4</v>
      </c>
      <c r="BE98" s="1">
        <v>3</v>
      </c>
      <c r="BF98" s="1">
        <v>3</v>
      </c>
      <c r="BG98" s="1">
        <v>3</v>
      </c>
      <c r="BH98" s="1">
        <v>3</v>
      </c>
      <c r="BI98" s="1">
        <v>3</v>
      </c>
      <c r="BJ98" s="1">
        <v>3</v>
      </c>
      <c r="BK98" s="1" t="s">
        <v>665</v>
      </c>
      <c r="BL98" s="1">
        <v>4</v>
      </c>
    </row>
    <row r="99" spans="1:64" x14ac:dyDescent="0.35">
      <c r="A99" t="s">
        <v>168</v>
      </c>
      <c r="B99" t="s">
        <v>681</v>
      </c>
      <c r="C99" t="s">
        <v>169</v>
      </c>
      <c r="D99" t="s">
        <v>284</v>
      </c>
      <c r="E99" t="s">
        <v>780</v>
      </c>
      <c r="F99" t="s">
        <v>481</v>
      </c>
      <c r="G99" t="s">
        <v>284</v>
      </c>
      <c r="H99" s="1">
        <v>20021.5</v>
      </c>
      <c r="I99" s="1" t="s">
        <v>665</v>
      </c>
      <c r="J99" s="1">
        <v>36321</v>
      </c>
      <c r="K99" s="1">
        <v>9360</v>
      </c>
      <c r="L99" s="1">
        <v>14722.873530662375</v>
      </c>
      <c r="M99" s="1">
        <v>4614.7319988902655</v>
      </c>
      <c r="N99" s="1">
        <v>3124</v>
      </c>
      <c r="O99" s="1">
        <v>795.65649834808448</v>
      </c>
      <c r="P99" s="1">
        <v>0</v>
      </c>
      <c r="Q99" s="1">
        <v>20022</v>
      </c>
      <c r="R99" s="1">
        <v>21356.266666666663</v>
      </c>
      <c r="S99" s="1">
        <v>10658.8</v>
      </c>
      <c r="T99" s="1">
        <v>6557</v>
      </c>
      <c r="U99" s="1" t="s">
        <v>665</v>
      </c>
      <c r="V99" s="3">
        <f>_xlfn.XLOOKUP(Table2[[#This Row],[admin3Pcode]],'Inter-sector dataset'!F:F,'Inter-sector dataset'!Q:Q)</f>
        <v>0</v>
      </c>
      <c r="W99" s="3">
        <f>_xlfn.XLOOKUP(Table2[[#This Row],[admin3Pcode]],'Inter-sector dataset'!F:F,'Inter-sector dataset'!R:R)</f>
        <v>0</v>
      </c>
      <c r="X99" s="1">
        <f>IFERROR(Table2[[#This Row],[Health_PIN]]*$V99,)</f>
        <v>0</v>
      </c>
      <c r="Y99" s="1">
        <f>IFERROR(Table2[[#This Row],[CCCM_PIN]]*$V99,)</f>
        <v>0</v>
      </c>
      <c r="Z99" s="1">
        <f>IFERROR(Table2[[#This Row],[ERL_PIN]]*$V99,)</f>
        <v>0</v>
      </c>
      <c r="AA99" s="1">
        <f>IFERROR(Table2[[#This Row],[NFI_PIN]]*$V99,)</f>
        <v>0</v>
      </c>
      <c r="AB99" s="1">
        <f>IFERROR(Table2[[#This Row],[Nutrition_PIN]]*$V99,)</f>
        <v>0</v>
      </c>
      <c r="AC99" s="1">
        <f>IFERROR(Table2[[#This Row],[Education_PIN]]*$V99,)</f>
        <v>0</v>
      </c>
      <c r="AD99" s="1">
        <f>IFERROR(Table2[[#This Row],[Shelter_PIN]]*$V99,)</f>
        <v>0</v>
      </c>
      <c r="AE99" s="1">
        <f>IFERROR(Table2[[#This Row],[WASH_PIN]]*$V99,)</f>
        <v>0</v>
      </c>
      <c r="AF99" s="1">
        <f>IFERROR(Table2[[#This Row],[WASH_acute_PIN]]*$V99,)</f>
        <v>0</v>
      </c>
      <c r="AG99" s="1">
        <f>IFERROR(Table2[[#This Row],[Protection_PIN]]*$V99,)</f>
        <v>0</v>
      </c>
      <c r="AH99" s="1">
        <f>IFERROR(Table2[[#This Row],[Food_PIN]]*$V99,)</f>
        <v>0</v>
      </c>
      <c r="AI99" s="1">
        <f>IFERROR(Table2[[#This Row],[Protection_CP_PIN]]*$V99,)</f>
        <v>0</v>
      </c>
      <c r="AJ99" s="1">
        <f>IFERROR(Table2[[#This Row],[Protection_GBV_PIN]]*$V99,)</f>
        <v>0</v>
      </c>
      <c r="AK99" s="1">
        <f>IFERROR(Table2[[#This Row],[Protection_MA_PIN]]*$V99,)</f>
        <v>0</v>
      </c>
      <c r="AL99" s="1">
        <f>IFERROR(Table2[[#This Row],[Health_PIN]]*$W99,)</f>
        <v>0</v>
      </c>
      <c r="AM99" s="1">
        <f>IFERROR(Table2[[#This Row],[CCCM_PIN]]*$W99,)</f>
        <v>0</v>
      </c>
      <c r="AN99" s="1">
        <f>IFERROR(Table2[[#This Row],[ERL_PIN]]*$W99,)</f>
        <v>0</v>
      </c>
      <c r="AO99" s="1">
        <f>IFERROR(Table2[[#This Row],[NFI_PIN]]*$W99,)</f>
        <v>0</v>
      </c>
      <c r="AP99" s="1">
        <f>IFERROR(Table2[[#This Row],[Nutrition_PIN]]*$W99,)</f>
        <v>0</v>
      </c>
      <c r="AQ99" s="1">
        <f>IFERROR(Table2[[#This Row],[Education_PIN]]*$W99,)</f>
        <v>0</v>
      </c>
      <c r="AR99" s="1">
        <f>IFERROR(Table2[[#This Row],[Shelter_PIN]]*$W99,)</f>
        <v>0</v>
      </c>
      <c r="AS99" s="1">
        <f>IFERROR(Table2[[#This Row],[WASH_PIN]]*$W99,)</f>
        <v>0</v>
      </c>
      <c r="AT99" s="1">
        <f>IFERROR(Table2[[#This Row],[WASH_acute_PIN]]*$W99,)</f>
        <v>0</v>
      </c>
      <c r="AU99" s="1">
        <f>IFERROR(Table2[[#This Row],[Protection_PIN]]*$W99,)</f>
        <v>0</v>
      </c>
      <c r="AV99" s="1">
        <f>IFERROR(Table2[[#This Row],[Food_PIN]]*$W99,)</f>
        <v>0</v>
      </c>
      <c r="AW99" s="1">
        <f>IFERROR(Table2[[#This Row],[Protection_CP_PIN]]*$W99,)</f>
        <v>0</v>
      </c>
      <c r="AX99" s="1">
        <f>IFERROR(Table2[[#This Row],[Protection_GBV_PIN]]*$W99,)</f>
        <v>0</v>
      </c>
      <c r="AY99" s="1">
        <f>IFERROR(Table2[[#This Row],[Protection_MA_PIN]]*$W99,)</f>
        <v>0</v>
      </c>
      <c r="AZ99" s="1">
        <v>2</v>
      </c>
      <c r="BA99" s="1">
        <v>3</v>
      </c>
      <c r="BB99" s="1">
        <v>4</v>
      </c>
      <c r="BC99" s="1">
        <v>3</v>
      </c>
      <c r="BD99" s="1">
        <v>3</v>
      </c>
      <c r="BE99" s="1">
        <v>3</v>
      </c>
      <c r="BF99" s="1">
        <v>3</v>
      </c>
      <c r="BG99" s="1">
        <v>3</v>
      </c>
      <c r="BH99" s="1">
        <v>2</v>
      </c>
      <c r="BI99" s="1">
        <v>3</v>
      </c>
      <c r="BJ99" s="1">
        <v>3</v>
      </c>
      <c r="BK99" s="1" t="s">
        <v>665</v>
      </c>
      <c r="BL99" s="1">
        <v>2</v>
      </c>
    </row>
    <row r="100" spans="1:64" x14ac:dyDescent="0.35">
      <c r="A100" t="s">
        <v>17</v>
      </c>
      <c r="B100" t="s">
        <v>663</v>
      </c>
      <c r="C100" t="s">
        <v>18</v>
      </c>
      <c r="D100" t="s">
        <v>146</v>
      </c>
      <c r="E100" t="s">
        <v>781</v>
      </c>
      <c r="F100" t="s">
        <v>147</v>
      </c>
      <c r="G100" t="s">
        <v>146</v>
      </c>
      <c r="H100" s="1">
        <v>0</v>
      </c>
      <c r="I100" s="1" t="s">
        <v>665</v>
      </c>
      <c r="J100" s="1">
        <v>25849</v>
      </c>
      <c r="K100" s="1">
        <v>8081</v>
      </c>
      <c r="L100" s="1">
        <v>9048.6302663632196</v>
      </c>
      <c r="M100" s="1">
        <v>3673.9620596205905</v>
      </c>
      <c r="N100" s="1">
        <v>0</v>
      </c>
      <c r="O100" s="1">
        <v>26961.051207729473</v>
      </c>
      <c r="P100" s="1">
        <v>5143</v>
      </c>
      <c r="Q100" s="1">
        <v>20203</v>
      </c>
      <c r="R100" s="1">
        <v>28807.268518518518</v>
      </c>
      <c r="S100" s="1">
        <v>6219.6</v>
      </c>
      <c r="T100" s="1">
        <v>6912</v>
      </c>
      <c r="U100" s="1" t="s">
        <v>665</v>
      </c>
      <c r="V100" s="3">
        <f>_xlfn.XLOOKUP(Table2[[#This Row],[admin3Pcode]],'Inter-sector dataset'!F:F,'Inter-sector dataset'!Q:Q)</f>
        <v>0</v>
      </c>
      <c r="W100" s="3">
        <f>_xlfn.XLOOKUP(Table2[[#This Row],[admin3Pcode]],'Inter-sector dataset'!F:F,'Inter-sector dataset'!R:R)</f>
        <v>0</v>
      </c>
      <c r="X100" s="1">
        <f>IFERROR(Table2[[#This Row],[Health_PIN]]*$V100,)</f>
        <v>0</v>
      </c>
      <c r="Y100" s="1">
        <f>IFERROR(Table2[[#This Row],[CCCM_PIN]]*$V100,)</f>
        <v>0</v>
      </c>
      <c r="Z100" s="1">
        <f>IFERROR(Table2[[#This Row],[ERL_PIN]]*$V100,)</f>
        <v>0</v>
      </c>
      <c r="AA100" s="1">
        <f>IFERROR(Table2[[#This Row],[NFI_PIN]]*$V100,)</f>
        <v>0</v>
      </c>
      <c r="AB100" s="1">
        <f>IFERROR(Table2[[#This Row],[Nutrition_PIN]]*$V100,)</f>
        <v>0</v>
      </c>
      <c r="AC100" s="1">
        <f>IFERROR(Table2[[#This Row],[Education_PIN]]*$V100,)</f>
        <v>0</v>
      </c>
      <c r="AD100" s="1">
        <f>IFERROR(Table2[[#This Row],[Shelter_PIN]]*$V100,)</f>
        <v>0</v>
      </c>
      <c r="AE100" s="1">
        <f>IFERROR(Table2[[#This Row],[WASH_PIN]]*$V100,)</f>
        <v>0</v>
      </c>
      <c r="AF100" s="1">
        <f>IFERROR(Table2[[#This Row],[WASH_acute_PIN]]*$V100,)</f>
        <v>0</v>
      </c>
      <c r="AG100" s="1">
        <f>IFERROR(Table2[[#This Row],[Protection_PIN]]*$V100,)</f>
        <v>0</v>
      </c>
      <c r="AH100" s="1">
        <f>IFERROR(Table2[[#This Row],[Food_PIN]]*$V100,)</f>
        <v>0</v>
      </c>
      <c r="AI100" s="1">
        <f>IFERROR(Table2[[#This Row],[Protection_CP_PIN]]*$V100,)</f>
        <v>0</v>
      </c>
      <c r="AJ100" s="1">
        <f>IFERROR(Table2[[#This Row],[Protection_GBV_PIN]]*$V100,)</f>
        <v>0</v>
      </c>
      <c r="AK100" s="1">
        <f>IFERROR(Table2[[#This Row],[Protection_MA_PIN]]*$V100,)</f>
        <v>0</v>
      </c>
      <c r="AL100" s="1">
        <f>IFERROR(Table2[[#This Row],[Health_PIN]]*$W100,)</f>
        <v>0</v>
      </c>
      <c r="AM100" s="1">
        <f>IFERROR(Table2[[#This Row],[CCCM_PIN]]*$W100,)</f>
        <v>0</v>
      </c>
      <c r="AN100" s="1">
        <f>IFERROR(Table2[[#This Row],[ERL_PIN]]*$W100,)</f>
        <v>0</v>
      </c>
      <c r="AO100" s="1">
        <f>IFERROR(Table2[[#This Row],[NFI_PIN]]*$W100,)</f>
        <v>0</v>
      </c>
      <c r="AP100" s="1">
        <f>IFERROR(Table2[[#This Row],[Nutrition_PIN]]*$W100,)</f>
        <v>0</v>
      </c>
      <c r="AQ100" s="1">
        <f>IFERROR(Table2[[#This Row],[Education_PIN]]*$W100,)</f>
        <v>0</v>
      </c>
      <c r="AR100" s="1">
        <f>IFERROR(Table2[[#This Row],[Shelter_PIN]]*$W100,)</f>
        <v>0</v>
      </c>
      <c r="AS100" s="1">
        <f>IFERROR(Table2[[#This Row],[WASH_PIN]]*$W100,)</f>
        <v>0</v>
      </c>
      <c r="AT100" s="1">
        <f>IFERROR(Table2[[#This Row],[WASH_acute_PIN]]*$W100,)</f>
        <v>0</v>
      </c>
      <c r="AU100" s="1">
        <f>IFERROR(Table2[[#This Row],[Protection_PIN]]*$W100,)</f>
        <v>0</v>
      </c>
      <c r="AV100" s="1">
        <f>IFERROR(Table2[[#This Row],[Food_PIN]]*$W100,)</f>
        <v>0</v>
      </c>
      <c r="AW100" s="1">
        <f>IFERROR(Table2[[#This Row],[Protection_CP_PIN]]*$W100,)</f>
        <v>0</v>
      </c>
      <c r="AX100" s="1">
        <f>IFERROR(Table2[[#This Row],[Protection_GBV_PIN]]*$W100,)</f>
        <v>0</v>
      </c>
      <c r="AY100" s="1">
        <f>IFERROR(Table2[[#This Row],[Protection_MA_PIN]]*$W100,)</f>
        <v>0</v>
      </c>
      <c r="AZ100" s="1">
        <v>1</v>
      </c>
      <c r="BA100" s="1">
        <v>3</v>
      </c>
      <c r="BB100" s="1">
        <v>4</v>
      </c>
      <c r="BC100" s="1">
        <v>2</v>
      </c>
      <c r="BD100" s="1">
        <v>3</v>
      </c>
      <c r="BE100" s="1">
        <v>2</v>
      </c>
      <c r="BF100" s="1">
        <v>3</v>
      </c>
      <c r="BG100" s="1">
        <v>3</v>
      </c>
      <c r="BH100" s="1">
        <v>2</v>
      </c>
      <c r="BI100" s="1">
        <v>3</v>
      </c>
      <c r="BJ100" s="1">
        <v>2</v>
      </c>
      <c r="BK100" s="1" t="s">
        <v>665</v>
      </c>
      <c r="BL100" s="1">
        <v>4</v>
      </c>
    </row>
    <row r="101" spans="1:64" x14ac:dyDescent="0.35">
      <c r="A101" t="s">
        <v>28</v>
      </c>
      <c r="B101" t="s">
        <v>761</v>
      </c>
      <c r="C101" t="s">
        <v>29</v>
      </c>
      <c r="D101" t="s">
        <v>405</v>
      </c>
      <c r="E101" t="s">
        <v>782</v>
      </c>
      <c r="F101" t="s">
        <v>406</v>
      </c>
      <c r="G101" t="s">
        <v>783</v>
      </c>
      <c r="H101" s="1">
        <v>31077.75</v>
      </c>
      <c r="I101" s="1" t="s">
        <v>665</v>
      </c>
      <c r="J101" s="1">
        <v>41106</v>
      </c>
      <c r="K101" s="1">
        <v>12431</v>
      </c>
      <c r="L101" s="1">
        <v>11246.996650482984</v>
      </c>
      <c r="M101" s="1">
        <v>16921.349999999999</v>
      </c>
      <c r="N101" s="1">
        <v>8287</v>
      </c>
      <c r="O101" s="1">
        <v>39155.589938724675</v>
      </c>
      <c r="P101" s="1">
        <v>25080</v>
      </c>
      <c r="Q101" s="1">
        <v>20719</v>
      </c>
      <c r="R101" s="1">
        <v>19682.574999999997</v>
      </c>
      <c r="S101" s="1">
        <v>12855</v>
      </c>
      <c r="T101" s="1">
        <v>21378</v>
      </c>
      <c r="U101" s="1">
        <v>41437</v>
      </c>
      <c r="V101" s="3">
        <f>_xlfn.XLOOKUP(Table2[[#This Row],[admin3Pcode]],'Inter-sector dataset'!F:F,'Inter-sector dataset'!Q:Q)</f>
        <v>0</v>
      </c>
      <c r="W101" s="3">
        <f>_xlfn.XLOOKUP(Table2[[#This Row],[admin3Pcode]],'Inter-sector dataset'!F:F,'Inter-sector dataset'!R:R)</f>
        <v>0</v>
      </c>
      <c r="X101" s="1">
        <f>IFERROR(Table2[[#This Row],[Health_PIN]]*$V101,)</f>
        <v>0</v>
      </c>
      <c r="Y101" s="1">
        <f>IFERROR(Table2[[#This Row],[CCCM_PIN]]*$V101,)</f>
        <v>0</v>
      </c>
      <c r="Z101" s="1">
        <f>IFERROR(Table2[[#This Row],[ERL_PIN]]*$V101,)</f>
        <v>0</v>
      </c>
      <c r="AA101" s="1">
        <f>IFERROR(Table2[[#This Row],[NFI_PIN]]*$V101,)</f>
        <v>0</v>
      </c>
      <c r="AB101" s="1">
        <f>IFERROR(Table2[[#This Row],[Nutrition_PIN]]*$V101,)</f>
        <v>0</v>
      </c>
      <c r="AC101" s="1">
        <f>IFERROR(Table2[[#This Row],[Education_PIN]]*$V101,)</f>
        <v>0</v>
      </c>
      <c r="AD101" s="1">
        <f>IFERROR(Table2[[#This Row],[Shelter_PIN]]*$V101,)</f>
        <v>0</v>
      </c>
      <c r="AE101" s="1">
        <f>IFERROR(Table2[[#This Row],[WASH_PIN]]*$V101,)</f>
        <v>0</v>
      </c>
      <c r="AF101" s="1">
        <f>IFERROR(Table2[[#This Row],[WASH_acute_PIN]]*$V101,)</f>
        <v>0</v>
      </c>
      <c r="AG101" s="1">
        <f>IFERROR(Table2[[#This Row],[Protection_PIN]]*$V101,)</f>
        <v>0</v>
      </c>
      <c r="AH101" s="1">
        <f>IFERROR(Table2[[#This Row],[Food_PIN]]*$V101,)</f>
        <v>0</v>
      </c>
      <c r="AI101" s="1">
        <f>IFERROR(Table2[[#This Row],[Protection_CP_PIN]]*$V101,)</f>
        <v>0</v>
      </c>
      <c r="AJ101" s="1">
        <f>IFERROR(Table2[[#This Row],[Protection_GBV_PIN]]*$V101,)</f>
        <v>0</v>
      </c>
      <c r="AK101" s="1">
        <f>IFERROR(Table2[[#This Row],[Protection_MA_PIN]]*$V101,)</f>
        <v>0</v>
      </c>
      <c r="AL101" s="1">
        <f>IFERROR(Table2[[#This Row],[Health_PIN]]*$W101,)</f>
        <v>0</v>
      </c>
      <c r="AM101" s="1">
        <f>IFERROR(Table2[[#This Row],[CCCM_PIN]]*$W101,)</f>
        <v>0</v>
      </c>
      <c r="AN101" s="1">
        <f>IFERROR(Table2[[#This Row],[ERL_PIN]]*$W101,)</f>
        <v>0</v>
      </c>
      <c r="AO101" s="1">
        <f>IFERROR(Table2[[#This Row],[NFI_PIN]]*$W101,)</f>
        <v>0</v>
      </c>
      <c r="AP101" s="1">
        <f>IFERROR(Table2[[#This Row],[Nutrition_PIN]]*$W101,)</f>
        <v>0</v>
      </c>
      <c r="AQ101" s="1">
        <f>IFERROR(Table2[[#This Row],[Education_PIN]]*$W101,)</f>
        <v>0</v>
      </c>
      <c r="AR101" s="1">
        <f>IFERROR(Table2[[#This Row],[Shelter_PIN]]*$W101,)</f>
        <v>0</v>
      </c>
      <c r="AS101" s="1">
        <f>IFERROR(Table2[[#This Row],[WASH_PIN]]*$W101,)</f>
        <v>0</v>
      </c>
      <c r="AT101" s="1">
        <f>IFERROR(Table2[[#This Row],[WASH_acute_PIN]]*$W101,)</f>
        <v>0</v>
      </c>
      <c r="AU101" s="1">
        <f>IFERROR(Table2[[#This Row],[Protection_PIN]]*$W101,)</f>
        <v>0</v>
      </c>
      <c r="AV101" s="1">
        <f>IFERROR(Table2[[#This Row],[Food_PIN]]*$W101,)</f>
        <v>0</v>
      </c>
      <c r="AW101" s="1">
        <f>IFERROR(Table2[[#This Row],[Protection_CP_PIN]]*$W101,)</f>
        <v>0</v>
      </c>
      <c r="AX101" s="1">
        <f>IFERROR(Table2[[#This Row],[Protection_GBV_PIN]]*$W101,)</f>
        <v>0</v>
      </c>
      <c r="AY101" s="1">
        <f>IFERROR(Table2[[#This Row],[Protection_MA_PIN]]*$W101,)</f>
        <v>0</v>
      </c>
      <c r="AZ101" s="1">
        <v>2</v>
      </c>
      <c r="BA101" s="1">
        <v>4</v>
      </c>
      <c r="BB101" s="1">
        <v>4</v>
      </c>
      <c r="BC101" s="1">
        <v>3</v>
      </c>
      <c r="BD101" s="1">
        <v>4</v>
      </c>
      <c r="BE101" s="1">
        <v>4</v>
      </c>
      <c r="BF101" s="1">
        <v>3</v>
      </c>
      <c r="BG101" s="1">
        <v>4</v>
      </c>
      <c r="BH101" s="1">
        <v>5</v>
      </c>
      <c r="BI101" s="1">
        <v>3</v>
      </c>
      <c r="BJ101" s="1">
        <v>3</v>
      </c>
      <c r="BK101" s="1" t="s">
        <v>665</v>
      </c>
      <c r="BL101" s="1">
        <v>4</v>
      </c>
    </row>
    <row r="102" spans="1:64" x14ac:dyDescent="0.35">
      <c r="A102" t="s">
        <v>200</v>
      </c>
      <c r="B102" t="s">
        <v>683</v>
      </c>
      <c r="C102" t="s">
        <v>201</v>
      </c>
      <c r="D102" t="s">
        <v>202</v>
      </c>
      <c r="E102" t="s">
        <v>784</v>
      </c>
      <c r="F102" t="s">
        <v>204</v>
      </c>
      <c r="G102" t="s">
        <v>202</v>
      </c>
      <c r="H102" s="1">
        <v>31146.75</v>
      </c>
      <c r="I102" s="1" t="s">
        <v>665</v>
      </c>
      <c r="J102" s="1">
        <v>20298</v>
      </c>
      <c r="K102" s="1">
        <v>544</v>
      </c>
      <c r="L102" s="1">
        <v>11957.612911705201</v>
      </c>
      <c r="M102" s="1">
        <v>18086.95</v>
      </c>
      <c r="N102" s="1">
        <v>8502</v>
      </c>
      <c r="O102" s="1">
        <v>38956.119738381472</v>
      </c>
      <c r="P102" s="1">
        <v>12251</v>
      </c>
      <c r="Q102" s="1">
        <v>20765</v>
      </c>
      <c r="R102" s="1">
        <v>33514.631578947367</v>
      </c>
      <c r="S102" s="1">
        <v>13328.099999999999</v>
      </c>
      <c r="T102" s="1">
        <v>17900</v>
      </c>
      <c r="U102" s="1">
        <v>30740</v>
      </c>
      <c r="V102" s="3">
        <f>_xlfn.XLOOKUP(Table2[[#This Row],[admin3Pcode]],'Inter-sector dataset'!F:F,'Inter-sector dataset'!Q:Q)</f>
        <v>0</v>
      </c>
      <c r="W102" s="3">
        <f>_xlfn.XLOOKUP(Table2[[#This Row],[admin3Pcode]],'Inter-sector dataset'!F:F,'Inter-sector dataset'!R:R)</f>
        <v>0.69</v>
      </c>
      <c r="X102" s="1">
        <f>IFERROR(Table2[[#This Row],[Health_PIN]]*$V102,)</f>
        <v>0</v>
      </c>
      <c r="Y102" s="1">
        <f>IFERROR(Table2[[#This Row],[CCCM_PIN]]*$V102,)</f>
        <v>0</v>
      </c>
      <c r="Z102" s="1">
        <f>IFERROR(Table2[[#This Row],[ERL_PIN]]*$V102,)</f>
        <v>0</v>
      </c>
      <c r="AA102" s="1">
        <f>IFERROR(Table2[[#This Row],[NFI_PIN]]*$V102,)</f>
        <v>0</v>
      </c>
      <c r="AB102" s="1">
        <f>IFERROR(Table2[[#This Row],[Nutrition_PIN]]*$V102,)</f>
        <v>0</v>
      </c>
      <c r="AC102" s="1">
        <f>IFERROR(Table2[[#This Row],[Education_PIN]]*$V102,)</f>
        <v>0</v>
      </c>
      <c r="AD102" s="1">
        <f>IFERROR(Table2[[#This Row],[Shelter_PIN]]*$V102,)</f>
        <v>0</v>
      </c>
      <c r="AE102" s="1">
        <f>IFERROR(Table2[[#This Row],[WASH_PIN]]*$V102,)</f>
        <v>0</v>
      </c>
      <c r="AF102" s="1">
        <f>IFERROR(Table2[[#This Row],[WASH_acute_PIN]]*$V102,)</f>
        <v>0</v>
      </c>
      <c r="AG102" s="1">
        <f>IFERROR(Table2[[#This Row],[Protection_PIN]]*$V102,)</f>
        <v>0</v>
      </c>
      <c r="AH102" s="1">
        <f>IFERROR(Table2[[#This Row],[Food_PIN]]*$V102,)</f>
        <v>0</v>
      </c>
      <c r="AI102" s="1">
        <f>IFERROR(Table2[[#This Row],[Protection_CP_PIN]]*$V102,)</f>
        <v>0</v>
      </c>
      <c r="AJ102" s="1">
        <f>IFERROR(Table2[[#This Row],[Protection_GBV_PIN]]*$V102,)</f>
        <v>0</v>
      </c>
      <c r="AK102" s="1">
        <f>IFERROR(Table2[[#This Row],[Protection_MA_PIN]]*$V102,)</f>
        <v>0</v>
      </c>
      <c r="AL102" s="1">
        <f>IFERROR(Table2[[#This Row],[Health_PIN]]*$W102,)</f>
        <v>21491.2575</v>
      </c>
      <c r="AM102" s="1">
        <f>IFERROR(Table2[[#This Row],[CCCM_PIN]]*$W102,)</f>
        <v>0</v>
      </c>
      <c r="AN102" s="1">
        <f>IFERROR(Table2[[#This Row],[ERL_PIN]]*$W102,)</f>
        <v>14005.619999999999</v>
      </c>
      <c r="AO102" s="1">
        <f>IFERROR(Table2[[#This Row],[NFI_PIN]]*$W102,)</f>
        <v>375.35999999999996</v>
      </c>
      <c r="AP102" s="1">
        <f>IFERROR(Table2[[#This Row],[Nutrition_PIN]]*$W102,)</f>
        <v>8250.7529090765875</v>
      </c>
      <c r="AQ102" s="1">
        <f>IFERROR(Table2[[#This Row],[Education_PIN]]*$W102,)</f>
        <v>12479.995499999999</v>
      </c>
      <c r="AR102" s="1">
        <f>IFERROR(Table2[[#This Row],[Shelter_PIN]]*$W102,)</f>
        <v>5866.3799999999992</v>
      </c>
      <c r="AS102" s="1">
        <f>IFERROR(Table2[[#This Row],[WASH_PIN]]*$W102,)</f>
        <v>26879.722619483215</v>
      </c>
      <c r="AT102" s="1">
        <f>IFERROR(Table2[[#This Row],[WASH_acute_PIN]]*$W102,)</f>
        <v>8453.1899999999987</v>
      </c>
      <c r="AU102" s="1">
        <f>IFERROR(Table2[[#This Row],[Protection_PIN]]*$W102,)</f>
        <v>14327.849999999999</v>
      </c>
      <c r="AV102" s="1">
        <f>IFERROR(Table2[[#This Row],[Food_PIN]]*$W102,)</f>
        <v>23125.095789473682</v>
      </c>
      <c r="AW102" s="1">
        <f>IFERROR(Table2[[#This Row],[Protection_CP_PIN]]*$W102,)</f>
        <v>9196.3889999999974</v>
      </c>
      <c r="AX102" s="1">
        <f>IFERROR(Table2[[#This Row],[Protection_GBV_PIN]]*$W102,)</f>
        <v>12350.999999999998</v>
      </c>
      <c r="AY102" s="1">
        <f>IFERROR(Table2[[#This Row],[Protection_MA_PIN]]*$W102,)</f>
        <v>21210.6</v>
      </c>
      <c r="AZ102" s="1">
        <v>3</v>
      </c>
      <c r="BA102" s="1">
        <v>3</v>
      </c>
      <c r="BB102" s="1">
        <v>4</v>
      </c>
      <c r="BC102" s="1">
        <v>3</v>
      </c>
      <c r="BD102" s="1">
        <v>3</v>
      </c>
      <c r="BE102" s="1">
        <v>4</v>
      </c>
      <c r="BF102" s="1">
        <v>3</v>
      </c>
      <c r="BG102" s="1">
        <v>4</v>
      </c>
      <c r="BH102" s="1">
        <v>4</v>
      </c>
      <c r="BI102" s="1">
        <v>3</v>
      </c>
      <c r="BJ102" s="1">
        <v>4</v>
      </c>
      <c r="BK102" s="1" t="s">
        <v>665</v>
      </c>
      <c r="BL102" s="1">
        <v>4</v>
      </c>
    </row>
    <row r="103" spans="1:64" x14ac:dyDescent="0.35">
      <c r="A103" t="s">
        <v>17</v>
      </c>
      <c r="B103" t="s">
        <v>663</v>
      </c>
      <c r="C103" t="s">
        <v>18</v>
      </c>
      <c r="D103" t="s">
        <v>62</v>
      </c>
      <c r="E103" t="s">
        <v>785</v>
      </c>
      <c r="F103" t="s">
        <v>111</v>
      </c>
      <c r="G103" t="s">
        <v>62</v>
      </c>
      <c r="H103" s="1">
        <v>21198</v>
      </c>
      <c r="I103" s="1" t="s">
        <v>665</v>
      </c>
      <c r="J103" s="1">
        <v>13486</v>
      </c>
      <c r="K103" s="1">
        <v>0</v>
      </c>
      <c r="L103" s="1">
        <v>8633.8705867328117</v>
      </c>
      <c r="M103" s="1">
        <v>4278.2817603394005</v>
      </c>
      <c r="N103" s="1">
        <v>1691</v>
      </c>
      <c r="O103" s="1">
        <v>6960.3636962270166</v>
      </c>
      <c r="P103" s="1">
        <v>0</v>
      </c>
      <c r="Q103" s="1">
        <v>21198</v>
      </c>
      <c r="R103" s="1">
        <v>32150.300000000003</v>
      </c>
      <c r="S103" s="1">
        <v>10787.7</v>
      </c>
      <c r="T103" s="1">
        <v>17539</v>
      </c>
      <c r="U103" s="1">
        <v>12893</v>
      </c>
      <c r="V103" s="3">
        <f>_xlfn.XLOOKUP(Table2[[#This Row],[admin3Pcode]],'Inter-sector dataset'!F:F,'Inter-sector dataset'!Q:Q)</f>
        <v>0</v>
      </c>
      <c r="W103" s="3">
        <f>_xlfn.XLOOKUP(Table2[[#This Row],[admin3Pcode]],'Inter-sector dataset'!F:F,'Inter-sector dataset'!R:R)</f>
        <v>0</v>
      </c>
      <c r="X103" s="1">
        <f>IFERROR(Table2[[#This Row],[Health_PIN]]*$V103,)</f>
        <v>0</v>
      </c>
      <c r="Y103" s="1">
        <f>IFERROR(Table2[[#This Row],[CCCM_PIN]]*$V103,)</f>
        <v>0</v>
      </c>
      <c r="Z103" s="1">
        <f>IFERROR(Table2[[#This Row],[ERL_PIN]]*$V103,)</f>
        <v>0</v>
      </c>
      <c r="AA103" s="1">
        <f>IFERROR(Table2[[#This Row],[NFI_PIN]]*$V103,)</f>
        <v>0</v>
      </c>
      <c r="AB103" s="1">
        <f>IFERROR(Table2[[#This Row],[Nutrition_PIN]]*$V103,)</f>
        <v>0</v>
      </c>
      <c r="AC103" s="1">
        <f>IFERROR(Table2[[#This Row],[Education_PIN]]*$V103,)</f>
        <v>0</v>
      </c>
      <c r="AD103" s="1">
        <f>IFERROR(Table2[[#This Row],[Shelter_PIN]]*$V103,)</f>
        <v>0</v>
      </c>
      <c r="AE103" s="1">
        <f>IFERROR(Table2[[#This Row],[WASH_PIN]]*$V103,)</f>
        <v>0</v>
      </c>
      <c r="AF103" s="1">
        <f>IFERROR(Table2[[#This Row],[WASH_acute_PIN]]*$V103,)</f>
        <v>0</v>
      </c>
      <c r="AG103" s="1">
        <f>IFERROR(Table2[[#This Row],[Protection_PIN]]*$V103,)</f>
        <v>0</v>
      </c>
      <c r="AH103" s="1">
        <f>IFERROR(Table2[[#This Row],[Food_PIN]]*$V103,)</f>
        <v>0</v>
      </c>
      <c r="AI103" s="1">
        <f>IFERROR(Table2[[#This Row],[Protection_CP_PIN]]*$V103,)</f>
        <v>0</v>
      </c>
      <c r="AJ103" s="1">
        <f>IFERROR(Table2[[#This Row],[Protection_GBV_PIN]]*$V103,)</f>
        <v>0</v>
      </c>
      <c r="AK103" s="1">
        <f>IFERROR(Table2[[#This Row],[Protection_MA_PIN]]*$V103,)</f>
        <v>0</v>
      </c>
      <c r="AL103" s="1">
        <f>IFERROR(Table2[[#This Row],[Health_PIN]]*$W103,)</f>
        <v>0</v>
      </c>
      <c r="AM103" s="1">
        <f>IFERROR(Table2[[#This Row],[CCCM_PIN]]*$W103,)</f>
        <v>0</v>
      </c>
      <c r="AN103" s="1">
        <f>IFERROR(Table2[[#This Row],[ERL_PIN]]*$W103,)</f>
        <v>0</v>
      </c>
      <c r="AO103" s="1">
        <f>IFERROR(Table2[[#This Row],[NFI_PIN]]*$W103,)</f>
        <v>0</v>
      </c>
      <c r="AP103" s="1">
        <f>IFERROR(Table2[[#This Row],[Nutrition_PIN]]*$W103,)</f>
        <v>0</v>
      </c>
      <c r="AQ103" s="1">
        <f>IFERROR(Table2[[#This Row],[Education_PIN]]*$W103,)</f>
        <v>0</v>
      </c>
      <c r="AR103" s="1">
        <f>IFERROR(Table2[[#This Row],[Shelter_PIN]]*$W103,)</f>
        <v>0</v>
      </c>
      <c r="AS103" s="1">
        <f>IFERROR(Table2[[#This Row],[WASH_PIN]]*$W103,)</f>
        <v>0</v>
      </c>
      <c r="AT103" s="1">
        <f>IFERROR(Table2[[#This Row],[WASH_acute_PIN]]*$W103,)</f>
        <v>0</v>
      </c>
      <c r="AU103" s="1">
        <f>IFERROR(Table2[[#This Row],[Protection_PIN]]*$W103,)</f>
        <v>0</v>
      </c>
      <c r="AV103" s="1">
        <f>IFERROR(Table2[[#This Row],[Food_PIN]]*$W103,)</f>
        <v>0</v>
      </c>
      <c r="AW103" s="1">
        <f>IFERROR(Table2[[#This Row],[Protection_CP_PIN]]*$W103,)</f>
        <v>0</v>
      </c>
      <c r="AX103" s="1">
        <f>IFERROR(Table2[[#This Row],[Protection_GBV_PIN]]*$W103,)</f>
        <v>0</v>
      </c>
      <c r="AY103" s="1">
        <f>IFERROR(Table2[[#This Row],[Protection_MA_PIN]]*$W103,)</f>
        <v>0</v>
      </c>
      <c r="AZ103" s="1">
        <v>2</v>
      </c>
      <c r="BA103" s="1">
        <v>3</v>
      </c>
      <c r="BB103" s="1">
        <v>3</v>
      </c>
      <c r="BC103" s="1">
        <v>1</v>
      </c>
      <c r="BD103" s="1">
        <v>2</v>
      </c>
      <c r="BE103" s="1">
        <v>3</v>
      </c>
      <c r="BF103" s="1">
        <v>3</v>
      </c>
      <c r="BG103" s="1">
        <v>4</v>
      </c>
      <c r="BH103" s="1">
        <v>4</v>
      </c>
      <c r="BI103" s="1">
        <v>3</v>
      </c>
      <c r="BJ103" s="1">
        <v>3</v>
      </c>
      <c r="BK103" s="1" t="s">
        <v>665</v>
      </c>
      <c r="BL103" s="1">
        <v>2</v>
      </c>
    </row>
    <row r="104" spans="1:64" x14ac:dyDescent="0.35">
      <c r="A104" t="s">
        <v>6</v>
      </c>
      <c r="B104" t="s">
        <v>667</v>
      </c>
      <c r="C104" t="s">
        <v>7</v>
      </c>
      <c r="D104" t="s">
        <v>132</v>
      </c>
      <c r="E104" t="s">
        <v>786</v>
      </c>
      <c r="F104" t="s">
        <v>133</v>
      </c>
      <c r="G104" t="s">
        <v>132</v>
      </c>
      <c r="H104" s="1">
        <v>0</v>
      </c>
      <c r="I104" s="1" t="s">
        <v>665</v>
      </c>
      <c r="J104" s="1">
        <v>40408</v>
      </c>
      <c r="K104" s="1">
        <v>10447</v>
      </c>
      <c r="L104" s="1">
        <v>11045.93120382234</v>
      </c>
      <c r="M104" s="1">
        <v>13368.233333333334</v>
      </c>
      <c r="N104" s="1">
        <v>5351</v>
      </c>
      <c r="O104" s="1">
        <v>17416.824983114373</v>
      </c>
      <c r="P104" s="1">
        <v>0</v>
      </c>
      <c r="Q104" s="1">
        <v>23053</v>
      </c>
      <c r="R104" s="1">
        <v>26126.166666666672</v>
      </c>
      <c r="S104" s="1">
        <v>11510.1</v>
      </c>
      <c r="T104" s="1">
        <v>7399</v>
      </c>
      <c r="U104" s="1" t="s">
        <v>665</v>
      </c>
      <c r="V104" s="3">
        <f>_xlfn.XLOOKUP(Table2[[#This Row],[admin3Pcode]],'Inter-sector dataset'!F:F,'Inter-sector dataset'!Q:Q)</f>
        <v>0</v>
      </c>
      <c r="W104" s="3">
        <f>_xlfn.XLOOKUP(Table2[[#This Row],[admin3Pcode]],'Inter-sector dataset'!F:F,'Inter-sector dataset'!R:R)</f>
        <v>0</v>
      </c>
      <c r="X104" s="1">
        <f>IFERROR(Table2[[#This Row],[Health_PIN]]*$V104,)</f>
        <v>0</v>
      </c>
      <c r="Y104" s="1">
        <f>IFERROR(Table2[[#This Row],[CCCM_PIN]]*$V104,)</f>
        <v>0</v>
      </c>
      <c r="Z104" s="1">
        <f>IFERROR(Table2[[#This Row],[ERL_PIN]]*$V104,)</f>
        <v>0</v>
      </c>
      <c r="AA104" s="1">
        <f>IFERROR(Table2[[#This Row],[NFI_PIN]]*$V104,)</f>
        <v>0</v>
      </c>
      <c r="AB104" s="1">
        <f>IFERROR(Table2[[#This Row],[Nutrition_PIN]]*$V104,)</f>
        <v>0</v>
      </c>
      <c r="AC104" s="1">
        <f>IFERROR(Table2[[#This Row],[Education_PIN]]*$V104,)</f>
        <v>0</v>
      </c>
      <c r="AD104" s="1">
        <f>IFERROR(Table2[[#This Row],[Shelter_PIN]]*$V104,)</f>
        <v>0</v>
      </c>
      <c r="AE104" s="1">
        <f>IFERROR(Table2[[#This Row],[WASH_PIN]]*$V104,)</f>
        <v>0</v>
      </c>
      <c r="AF104" s="1">
        <f>IFERROR(Table2[[#This Row],[WASH_acute_PIN]]*$V104,)</f>
        <v>0</v>
      </c>
      <c r="AG104" s="1">
        <f>IFERROR(Table2[[#This Row],[Protection_PIN]]*$V104,)</f>
        <v>0</v>
      </c>
      <c r="AH104" s="1">
        <f>IFERROR(Table2[[#This Row],[Food_PIN]]*$V104,)</f>
        <v>0</v>
      </c>
      <c r="AI104" s="1">
        <f>IFERROR(Table2[[#This Row],[Protection_CP_PIN]]*$V104,)</f>
        <v>0</v>
      </c>
      <c r="AJ104" s="1">
        <f>IFERROR(Table2[[#This Row],[Protection_GBV_PIN]]*$V104,)</f>
        <v>0</v>
      </c>
      <c r="AK104" s="1">
        <f>IFERROR(Table2[[#This Row],[Protection_MA_PIN]]*$V104,)</f>
        <v>0</v>
      </c>
      <c r="AL104" s="1">
        <f>IFERROR(Table2[[#This Row],[Health_PIN]]*$W104,)</f>
        <v>0</v>
      </c>
      <c r="AM104" s="1">
        <f>IFERROR(Table2[[#This Row],[CCCM_PIN]]*$W104,)</f>
        <v>0</v>
      </c>
      <c r="AN104" s="1">
        <f>IFERROR(Table2[[#This Row],[ERL_PIN]]*$W104,)</f>
        <v>0</v>
      </c>
      <c r="AO104" s="1">
        <f>IFERROR(Table2[[#This Row],[NFI_PIN]]*$W104,)</f>
        <v>0</v>
      </c>
      <c r="AP104" s="1">
        <f>IFERROR(Table2[[#This Row],[Nutrition_PIN]]*$W104,)</f>
        <v>0</v>
      </c>
      <c r="AQ104" s="1">
        <f>IFERROR(Table2[[#This Row],[Education_PIN]]*$W104,)</f>
        <v>0</v>
      </c>
      <c r="AR104" s="1">
        <f>IFERROR(Table2[[#This Row],[Shelter_PIN]]*$W104,)</f>
        <v>0</v>
      </c>
      <c r="AS104" s="1">
        <f>IFERROR(Table2[[#This Row],[WASH_PIN]]*$W104,)</f>
        <v>0</v>
      </c>
      <c r="AT104" s="1">
        <f>IFERROR(Table2[[#This Row],[WASH_acute_PIN]]*$W104,)</f>
        <v>0</v>
      </c>
      <c r="AU104" s="1">
        <f>IFERROR(Table2[[#This Row],[Protection_PIN]]*$W104,)</f>
        <v>0</v>
      </c>
      <c r="AV104" s="1">
        <f>IFERROR(Table2[[#This Row],[Food_PIN]]*$W104,)</f>
        <v>0</v>
      </c>
      <c r="AW104" s="1">
        <f>IFERROR(Table2[[#This Row],[Protection_CP_PIN]]*$W104,)</f>
        <v>0</v>
      </c>
      <c r="AX104" s="1">
        <f>IFERROR(Table2[[#This Row],[Protection_GBV_PIN]]*$W104,)</f>
        <v>0</v>
      </c>
      <c r="AY104" s="1">
        <f>IFERROR(Table2[[#This Row],[Protection_MA_PIN]]*$W104,)</f>
        <v>0</v>
      </c>
      <c r="AZ104" s="1">
        <v>2</v>
      </c>
      <c r="BA104" s="1">
        <v>3</v>
      </c>
      <c r="BB104" s="1">
        <v>5</v>
      </c>
      <c r="BC104" s="1">
        <v>3</v>
      </c>
      <c r="BD104" s="1">
        <v>3</v>
      </c>
      <c r="BE104" s="1">
        <v>2</v>
      </c>
      <c r="BF104" s="1">
        <v>3</v>
      </c>
      <c r="BG104" s="1">
        <v>4</v>
      </c>
      <c r="BH104" s="1">
        <v>2</v>
      </c>
      <c r="BI104" s="1">
        <v>3</v>
      </c>
      <c r="BJ104" s="1">
        <v>3</v>
      </c>
      <c r="BK104" s="1" t="s">
        <v>665</v>
      </c>
      <c r="BL104" s="1">
        <v>3</v>
      </c>
    </row>
    <row r="105" spans="1:64" x14ac:dyDescent="0.35">
      <c r="A105" t="s">
        <v>28</v>
      </c>
      <c r="B105" t="s">
        <v>761</v>
      </c>
      <c r="C105" t="s">
        <v>29</v>
      </c>
      <c r="D105" t="s">
        <v>32</v>
      </c>
      <c r="E105" t="s">
        <v>787</v>
      </c>
      <c r="F105" t="s">
        <v>33</v>
      </c>
      <c r="G105" t="s">
        <v>32</v>
      </c>
      <c r="H105" s="1">
        <v>34667.25</v>
      </c>
      <c r="I105" s="1" t="s">
        <v>665</v>
      </c>
      <c r="J105" s="1">
        <v>44896</v>
      </c>
      <c r="K105" s="1">
        <v>9245</v>
      </c>
      <c r="L105" s="1">
        <v>13458.03159772158</v>
      </c>
      <c r="M105" s="1">
        <v>4836.6010895874806</v>
      </c>
      <c r="N105" s="1">
        <v>0</v>
      </c>
      <c r="O105" s="1">
        <v>31756.589206129538</v>
      </c>
      <c r="P105" s="1">
        <v>19716</v>
      </c>
      <c r="Q105" s="1">
        <v>23112</v>
      </c>
      <c r="R105" s="1">
        <v>32099.305555555555</v>
      </c>
      <c r="S105" s="1">
        <v>10096.400000000001</v>
      </c>
      <c r="T105" s="1">
        <v>13016</v>
      </c>
      <c r="U105" s="1">
        <v>46223</v>
      </c>
      <c r="V105" s="3">
        <f>_xlfn.XLOOKUP(Table2[[#This Row],[admin3Pcode]],'Inter-sector dataset'!F:F,'Inter-sector dataset'!Q:Q)</f>
        <v>0</v>
      </c>
      <c r="W105" s="3">
        <f>_xlfn.XLOOKUP(Table2[[#This Row],[admin3Pcode]],'Inter-sector dataset'!F:F,'Inter-sector dataset'!R:R)</f>
        <v>0</v>
      </c>
      <c r="X105" s="1">
        <f>IFERROR(Table2[[#This Row],[Health_PIN]]*$V105,)</f>
        <v>0</v>
      </c>
      <c r="Y105" s="1">
        <f>IFERROR(Table2[[#This Row],[CCCM_PIN]]*$V105,)</f>
        <v>0</v>
      </c>
      <c r="Z105" s="1">
        <f>IFERROR(Table2[[#This Row],[ERL_PIN]]*$V105,)</f>
        <v>0</v>
      </c>
      <c r="AA105" s="1">
        <f>IFERROR(Table2[[#This Row],[NFI_PIN]]*$V105,)</f>
        <v>0</v>
      </c>
      <c r="AB105" s="1">
        <f>IFERROR(Table2[[#This Row],[Nutrition_PIN]]*$V105,)</f>
        <v>0</v>
      </c>
      <c r="AC105" s="1">
        <f>IFERROR(Table2[[#This Row],[Education_PIN]]*$V105,)</f>
        <v>0</v>
      </c>
      <c r="AD105" s="1">
        <f>IFERROR(Table2[[#This Row],[Shelter_PIN]]*$V105,)</f>
        <v>0</v>
      </c>
      <c r="AE105" s="1">
        <f>IFERROR(Table2[[#This Row],[WASH_PIN]]*$V105,)</f>
        <v>0</v>
      </c>
      <c r="AF105" s="1">
        <f>IFERROR(Table2[[#This Row],[WASH_acute_PIN]]*$V105,)</f>
        <v>0</v>
      </c>
      <c r="AG105" s="1">
        <f>IFERROR(Table2[[#This Row],[Protection_PIN]]*$V105,)</f>
        <v>0</v>
      </c>
      <c r="AH105" s="1">
        <f>IFERROR(Table2[[#This Row],[Food_PIN]]*$V105,)</f>
        <v>0</v>
      </c>
      <c r="AI105" s="1">
        <f>IFERROR(Table2[[#This Row],[Protection_CP_PIN]]*$V105,)</f>
        <v>0</v>
      </c>
      <c r="AJ105" s="1">
        <f>IFERROR(Table2[[#This Row],[Protection_GBV_PIN]]*$V105,)</f>
        <v>0</v>
      </c>
      <c r="AK105" s="1">
        <f>IFERROR(Table2[[#This Row],[Protection_MA_PIN]]*$V105,)</f>
        <v>0</v>
      </c>
      <c r="AL105" s="1">
        <f>IFERROR(Table2[[#This Row],[Health_PIN]]*$W105,)</f>
        <v>0</v>
      </c>
      <c r="AM105" s="1">
        <f>IFERROR(Table2[[#This Row],[CCCM_PIN]]*$W105,)</f>
        <v>0</v>
      </c>
      <c r="AN105" s="1">
        <f>IFERROR(Table2[[#This Row],[ERL_PIN]]*$W105,)</f>
        <v>0</v>
      </c>
      <c r="AO105" s="1">
        <f>IFERROR(Table2[[#This Row],[NFI_PIN]]*$W105,)</f>
        <v>0</v>
      </c>
      <c r="AP105" s="1">
        <f>IFERROR(Table2[[#This Row],[Nutrition_PIN]]*$W105,)</f>
        <v>0</v>
      </c>
      <c r="AQ105" s="1">
        <f>IFERROR(Table2[[#This Row],[Education_PIN]]*$W105,)</f>
        <v>0</v>
      </c>
      <c r="AR105" s="1">
        <f>IFERROR(Table2[[#This Row],[Shelter_PIN]]*$W105,)</f>
        <v>0</v>
      </c>
      <c r="AS105" s="1">
        <f>IFERROR(Table2[[#This Row],[WASH_PIN]]*$W105,)</f>
        <v>0</v>
      </c>
      <c r="AT105" s="1">
        <f>IFERROR(Table2[[#This Row],[WASH_acute_PIN]]*$W105,)</f>
        <v>0</v>
      </c>
      <c r="AU105" s="1">
        <f>IFERROR(Table2[[#This Row],[Protection_PIN]]*$W105,)</f>
        <v>0</v>
      </c>
      <c r="AV105" s="1">
        <f>IFERROR(Table2[[#This Row],[Food_PIN]]*$W105,)</f>
        <v>0</v>
      </c>
      <c r="AW105" s="1">
        <f>IFERROR(Table2[[#This Row],[Protection_CP_PIN]]*$W105,)</f>
        <v>0</v>
      </c>
      <c r="AX105" s="1">
        <f>IFERROR(Table2[[#This Row],[Protection_GBV_PIN]]*$W105,)</f>
        <v>0</v>
      </c>
      <c r="AY105" s="1">
        <f>IFERROR(Table2[[#This Row],[Protection_MA_PIN]]*$W105,)</f>
        <v>0</v>
      </c>
      <c r="AZ105" s="1">
        <v>1</v>
      </c>
      <c r="BA105" s="1">
        <v>3</v>
      </c>
      <c r="BB105" s="1">
        <v>4</v>
      </c>
      <c r="BC105" s="1">
        <v>2</v>
      </c>
      <c r="BD105" s="1">
        <v>3</v>
      </c>
      <c r="BE105" s="1">
        <v>4</v>
      </c>
      <c r="BF105" s="1">
        <v>3</v>
      </c>
      <c r="BG105" s="1">
        <v>3</v>
      </c>
      <c r="BH105" s="1">
        <v>3</v>
      </c>
      <c r="BI105" s="1">
        <v>3</v>
      </c>
      <c r="BJ105" s="1">
        <v>4</v>
      </c>
      <c r="BK105" s="1" t="s">
        <v>665</v>
      </c>
      <c r="BL105" s="1">
        <v>4</v>
      </c>
    </row>
    <row r="106" spans="1:64" x14ac:dyDescent="0.35">
      <c r="A106" t="s">
        <v>28</v>
      </c>
      <c r="B106" t="s">
        <v>761</v>
      </c>
      <c r="C106" t="s">
        <v>29</v>
      </c>
      <c r="D106" t="s">
        <v>198</v>
      </c>
      <c r="E106" t="s">
        <v>788</v>
      </c>
      <c r="F106" t="s">
        <v>199</v>
      </c>
      <c r="G106" t="s">
        <v>198</v>
      </c>
      <c r="H106" s="1">
        <v>24008</v>
      </c>
      <c r="I106" s="1" t="s">
        <v>665</v>
      </c>
      <c r="J106" s="1">
        <v>48016</v>
      </c>
      <c r="K106" s="1">
        <v>9603</v>
      </c>
      <c r="L106" s="1">
        <v>19486.056845828727</v>
      </c>
      <c r="M106" s="1">
        <v>4158.1628299570257</v>
      </c>
      <c r="N106" s="1">
        <v>14405</v>
      </c>
      <c r="O106" s="1">
        <v>20974.41788763391</v>
      </c>
      <c r="P106" s="1">
        <v>9206</v>
      </c>
      <c r="Q106" s="1">
        <v>24008</v>
      </c>
      <c r="R106" s="1">
        <v>22025.688073394496</v>
      </c>
      <c r="S106" s="1">
        <v>14819.7</v>
      </c>
      <c r="T106" s="1">
        <v>12210</v>
      </c>
      <c r="U106" s="1">
        <v>48016</v>
      </c>
      <c r="V106" s="3">
        <f>_xlfn.XLOOKUP(Table2[[#This Row],[admin3Pcode]],'Inter-sector dataset'!F:F,'Inter-sector dataset'!Q:Q)</f>
        <v>0</v>
      </c>
      <c r="W106" s="3">
        <f>_xlfn.XLOOKUP(Table2[[#This Row],[admin3Pcode]],'Inter-sector dataset'!F:F,'Inter-sector dataset'!R:R)</f>
        <v>0</v>
      </c>
      <c r="X106" s="1">
        <f>IFERROR(Table2[[#This Row],[Health_PIN]]*$V106,)</f>
        <v>0</v>
      </c>
      <c r="Y106" s="1">
        <f>IFERROR(Table2[[#This Row],[CCCM_PIN]]*$V106,)</f>
        <v>0</v>
      </c>
      <c r="Z106" s="1">
        <f>IFERROR(Table2[[#This Row],[ERL_PIN]]*$V106,)</f>
        <v>0</v>
      </c>
      <c r="AA106" s="1">
        <f>IFERROR(Table2[[#This Row],[NFI_PIN]]*$V106,)</f>
        <v>0</v>
      </c>
      <c r="AB106" s="1">
        <f>IFERROR(Table2[[#This Row],[Nutrition_PIN]]*$V106,)</f>
        <v>0</v>
      </c>
      <c r="AC106" s="1">
        <f>IFERROR(Table2[[#This Row],[Education_PIN]]*$V106,)</f>
        <v>0</v>
      </c>
      <c r="AD106" s="1">
        <f>IFERROR(Table2[[#This Row],[Shelter_PIN]]*$V106,)</f>
        <v>0</v>
      </c>
      <c r="AE106" s="1">
        <f>IFERROR(Table2[[#This Row],[WASH_PIN]]*$V106,)</f>
        <v>0</v>
      </c>
      <c r="AF106" s="1">
        <f>IFERROR(Table2[[#This Row],[WASH_acute_PIN]]*$V106,)</f>
        <v>0</v>
      </c>
      <c r="AG106" s="1">
        <f>IFERROR(Table2[[#This Row],[Protection_PIN]]*$V106,)</f>
        <v>0</v>
      </c>
      <c r="AH106" s="1">
        <f>IFERROR(Table2[[#This Row],[Food_PIN]]*$V106,)</f>
        <v>0</v>
      </c>
      <c r="AI106" s="1">
        <f>IFERROR(Table2[[#This Row],[Protection_CP_PIN]]*$V106,)</f>
        <v>0</v>
      </c>
      <c r="AJ106" s="1">
        <f>IFERROR(Table2[[#This Row],[Protection_GBV_PIN]]*$V106,)</f>
        <v>0</v>
      </c>
      <c r="AK106" s="1">
        <f>IFERROR(Table2[[#This Row],[Protection_MA_PIN]]*$V106,)</f>
        <v>0</v>
      </c>
      <c r="AL106" s="1">
        <f>IFERROR(Table2[[#This Row],[Health_PIN]]*$W106,)</f>
        <v>0</v>
      </c>
      <c r="AM106" s="1">
        <f>IFERROR(Table2[[#This Row],[CCCM_PIN]]*$W106,)</f>
        <v>0</v>
      </c>
      <c r="AN106" s="1">
        <f>IFERROR(Table2[[#This Row],[ERL_PIN]]*$W106,)</f>
        <v>0</v>
      </c>
      <c r="AO106" s="1">
        <f>IFERROR(Table2[[#This Row],[NFI_PIN]]*$W106,)</f>
        <v>0</v>
      </c>
      <c r="AP106" s="1">
        <f>IFERROR(Table2[[#This Row],[Nutrition_PIN]]*$W106,)</f>
        <v>0</v>
      </c>
      <c r="AQ106" s="1">
        <f>IFERROR(Table2[[#This Row],[Education_PIN]]*$W106,)</f>
        <v>0</v>
      </c>
      <c r="AR106" s="1">
        <f>IFERROR(Table2[[#This Row],[Shelter_PIN]]*$W106,)</f>
        <v>0</v>
      </c>
      <c r="AS106" s="1">
        <f>IFERROR(Table2[[#This Row],[WASH_PIN]]*$W106,)</f>
        <v>0</v>
      </c>
      <c r="AT106" s="1">
        <f>IFERROR(Table2[[#This Row],[WASH_acute_PIN]]*$W106,)</f>
        <v>0</v>
      </c>
      <c r="AU106" s="1">
        <f>IFERROR(Table2[[#This Row],[Protection_PIN]]*$W106,)</f>
        <v>0</v>
      </c>
      <c r="AV106" s="1">
        <f>IFERROR(Table2[[#This Row],[Food_PIN]]*$W106,)</f>
        <v>0</v>
      </c>
      <c r="AW106" s="1">
        <f>IFERROR(Table2[[#This Row],[Protection_CP_PIN]]*$W106,)</f>
        <v>0</v>
      </c>
      <c r="AX106" s="1">
        <f>IFERROR(Table2[[#This Row],[Protection_GBV_PIN]]*$W106,)</f>
        <v>0</v>
      </c>
      <c r="AY106" s="1">
        <f>IFERROR(Table2[[#This Row],[Protection_MA_PIN]]*$W106,)</f>
        <v>0</v>
      </c>
      <c r="AZ106" s="1">
        <v>3</v>
      </c>
      <c r="BA106" s="1">
        <v>3</v>
      </c>
      <c r="BB106" s="1">
        <v>4</v>
      </c>
      <c r="BC106" s="1">
        <v>2</v>
      </c>
      <c r="BD106" s="1">
        <v>3</v>
      </c>
      <c r="BE106" s="1">
        <v>3</v>
      </c>
      <c r="BF106" s="1">
        <v>3</v>
      </c>
      <c r="BG106" s="1">
        <v>4</v>
      </c>
      <c r="BH106" s="1">
        <v>3</v>
      </c>
      <c r="BI106" s="1">
        <v>3</v>
      </c>
      <c r="BJ106" s="1">
        <v>3</v>
      </c>
      <c r="BK106" s="1" t="s">
        <v>665</v>
      </c>
      <c r="BL106" s="1">
        <v>3</v>
      </c>
    </row>
    <row r="107" spans="1:64" x14ac:dyDescent="0.35">
      <c r="A107" t="s">
        <v>54</v>
      </c>
      <c r="B107" t="s">
        <v>709</v>
      </c>
      <c r="C107" t="s">
        <v>55</v>
      </c>
      <c r="D107" t="s">
        <v>136</v>
      </c>
      <c r="E107" t="s">
        <v>789</v>
      </c>
      <c r="F107" t="s">
        <v>137</v>
      </c>
      <c r="G107" t="s">
        <v>136</v>
      </c>
      <c r="H107" s="1">
        <v>37618.5</v>
      </c>
      <c r="I107" s="1" t="s">
        <v>665</v>
      </c>
      <c r="J107" s="1">
        <v>6493</v>
      </c>
      <c r="K107" s="1">
        <v>126</v>
      </c>
      <c r="L107" s="1">
        <v>12686.517845042479</v>
      </c>
      <c r="M107" s="1">
        <v>20943.599999999995</v>
      </c>
      <c r="N107" s="1">
        <v>10032</v>
      </c>
      <c r="O107" s="1">
        <v>1181.9340036411772</v>
      </c>
      <c r="P107" s="1">
        <v>0</v>
      </c>
      <c r="Q107" s="1">
        <v>25079</v>
      </c>
      <c r="R107" s="1">
        <v>37957.405405405407</v>
      </c>
      <c r="S107" s="1">
        <v>4774.9000000000005</v>
      </c>
      <c r="T107" s="1">
        <v>12656</v>
      </c>
      <c r="U107" s="1">
        <v>45203</v>
      </c>
      <c r="V107" s="3">
        <f>_xlfn.XLOOKUP(Table2[[#This Row],[admin3Pcode]],'Inter-sector dataset'!F:F,'Inter-sector dataset'!Q:Q)</f>
        <v>0</v>
      </c>
      <c r="W107" s="3">
        <f>_xlfn.XLOOKUP(Table2[[#This Row],[admin3Pcode]],'Inter-sector dataset'!F:F,'Inter-sector dataset'!R:R)</f>
        <v>0</v>
      </c>
      <c r="X107" s="1">
        <f>IFERROR(Table2[[#This Row],[Health_PIN]]*$V107,)</f>
        <v>0</v>
      </c>
      <c r="Y107" s="1">
        <f>IFERROR(Table2[[#This Row],[CCCM_PIN]]*$V107,)</f>
        <v>0</v>
      </c>
      <c r="Z107" s="1">
        <f>IFERROR(Table2[[#This Row],[ERL_PIN]]*$V107,)</f>
        <v>0</v>
      </c>
      <c r="AA107" s="1">
        <f>IFERROR(Table2[[#This Row],[NFI_PIN]]*$V107,)</f>
        <v>0</v>
      </c>
      <c r="AB107" s="1">
        <f>IFERROR(Table2[[#This Row],[Nutrition_PIN]]*$V107,)</f>
        <v>0</v>
      </c>
      <c r="AC107" s="1">
        <f>IFERROR(Table2[[#This Row],[Education_PIN]]*$V107,)</f>
        <v>0</v>
      </c>
      <c r="AD107" s="1">
        <f>IFERROR(Table2[[#This Row],[Shelter_PIN]]*$V107,)</f>
        <v>0</v>
      </c>
      <c r="AE107" s="1">
        <f>IFERROR(Table2[[#This Row],[WASH_PIN]]*$V107,)</f>
        <v>0</v>
      </c>
      <c r="AF107" s="1">
        <f>IFERROR(Table2[[#This Row],[WASH_acute_PIN]]*$V107,)</f>
        <v>0</v>
      </c>
      <c r="AG107" s="1">
        <f>IFERROR(Table2[[#This Row],[Protection_PIN]]*$V107,)</f>
        <v>0</v>
      </c>
      <c r="AH107" s="1">
        <f>IFERROR(Table2[[#This Row],[Food_PIN]]*$V107,)</f>
        <v>0</v>
      </c>
      <c r="AI107" s="1">
        <f>IFERROR(Table2[[#This Row],[Protection_CP_PIN]]*$V107,)</f>
        <v>0</v>
      </c>
      <c r="AJ107" s="1">
        <f>IFERROR(Table2[[#This Row],[Protection_GBV_PIN]]*$V107,)</f>
        <v>0</v>
      </c>
      <c r="AK107" s="1">
        <f>IFERROR(Table2[[#This Row],[Protection_MA_PIN]]*$V107,)</f>
        <v>0</v>
      </c>
      <c r="AL107" s="1">
        <f>IFERROR(Table2[[#This Row],[Health_PIN]]*$W107,)</f>
        <v>0</v>
      </c>
      <c r="AM107" s="1">
        <f>IFERROR(Table2[[#This Row],[CCCM_PIN]]*$W107,)</f>
        <v>0</v>
      </c>
      <c r="AN107" s="1">
        <f>IFERROR(Table2[[#This Row],[ERL_PIN]]*$W107,)</f>
        <v>0</v>
      </c>
      <c r="AO107" s="1">
        <f>IFERROR(Table2[[#This Row],[NFI_PIN]]*$W107,)</f>
        <v>0</v>
      </c>
      <c r="AP107" s="1">
        <f>IFERROR(Table2[[#This Row],[Nutrition_PIN]]*$W107,)</f>
        <v>0</v>
      </c>
      <c r="AQ107" s="1">
        <f>IFERROR(Table2[[#This Row],[Education_PIN]]*$W107,)</f>
        <v>0</v>
      </c>
      <c r="AR107" s="1">
        <f>IFERROR(Table2[[#This Row],[Shelter_PIN]]*$W107,)</f>
        <v>0</v>
      </c>
      <c r="AS107" s="1">
        <f>IFERROR(Table2[[#This Row],[WASH_PIN]]*$W107,)</f>
        <v>0</v>
      </c>
      <c r="AT107" s="1">
        <f>IFERROR(Table2[[#This Row],[WASH_acute_PIN]]*$W107,)</f>
        <v>0</v>
      </c>
      <c r="AU107" s="1">
        <f>IFERROR(Table2[[#This Row],[Protection_PIN]]*$W107,)</f>
        <v>0</v>
      </c>
      <c r="AV107" s="1">
        <f>IFERROR(Table2[[#This Row],[Food_PIN]]*$W107,)</f>
        <v>0</v>
      </c>
      <c r="AW107" s="1">
        <f>IFERROR(Table2[[#This Row],[Protection_CP_PIN]]*$W107,)</f>
        <v>0</v>
      </c>
      <c r="AX107" s="1">
        <f>IFERROR(Table2[[#This Row],[Protection_GBV_PIN]]*$W107,)</f>
        <v>0</v>
      </c>
      <c r="AY107" s="1">
        <f>IFERROR(Table2[[#This Row],[Protection_MA_PIN]]*$W107,)</f>
        <v>0</v>
      </c>
      <c r="AZ107" s="1">
        <v>2</v>
      </c>
      <c r="BA107" s="1">
        <v>4</v>
      </c>
      <c r="BB107" s="1">
        <v>3</v>
      </c>
      <c r="BC107" s="1">
        <v>2</v>
      </c>
      <c r="BD107" s="1">
        <v>2</v>
      </c>
      <c r="BE107" s="1">
        <v>4</v>
      </c>
      <c r="BF107" s="1">
        <v>3</v>
      </c>
      <c r="BG107" s="1">
        <v>2</v>
      </c>
      <c r="BH107" s="1">
        <v>3</v>
      </c>
      <c r="BI107" s="1">
        <v>3</v>
      </c>
      <c r="BJ107" s="1">
        <v>4</v>
      </c>
      <c r="BK107" s="1" t="s">
        <v>665</v>
      </c>
      <c r="BL107" s="1">
        <v>2</v>
      </c>
    </row>
    <row r="108" spans="1:64" x14ac:dyDescent="0.35">
      <c r="A108" t="s">
        <v>157</v>
      </c>
      <c r="B108" t="s">
        <v>748</v>
      </c>
      <c r="C108" t="s">
        <v>158</v>
      </c>
      <c r="D108" t="s">
        <v>250</v>
      </c>
      <c r="E108" t="s">
        <v>790</v>
      </c>
      <c r="F108" t="s">
        <v>279</v>
      </c>
      <c r="G108" t="s">
        <v>250</v>
      </c>
      <c r="H108" s="1">
        <v>44641.5</v>
      </c>
      <c r="I108" s="1" t="s">
        <v>665</v>
      </c>
      <c r="J108" s="1">
        <v>56661</v>
      </c>
      <c r="K108" s="1">
        <v>0</v>
      </c>
      <c r="L108" s="1">
        <v>16893.869249493771</v>
      </c>
      <c r="M108" s="1">
        <v>27554.35</v>
      </c>
      <c r="N108" s="1">
        <v>11904</v>
      </c>
      <c r="O108" s="1">
        <v>59082.620109318363</v>
      </c>
      <c r="P108" s="1">
        <v>41050</v>
      </c>
      <c r="Q108" s="1">
        <v>29761</v>
      </c>
      <c r="R108" s="1">
        <v>46257.09714285715</v>
      </c>
      <c r="S108" s="1">
        <v>12490.400000000001</v>
      </c>
      <c r="T108" s="1">
        <v>26283</v>
      </c>
      <c r="U108" s="1">
        <v>21482</v>
      </c>
      <c r="V108" s="3">
        <f>_xlfn.XLOOKUP(Table2[[#This Row],[admin3Pcode]],'Inter-sector dataset'!F:F,'Inter-sector dataset'!Q:Q)</f>
        <v>0</v>
      </c>
      <c r="W108" s="3">
        <f>_xlfn.XLOOKUP(Table2[[#This Row],[admin3Pcode]],'Inter-sector dataset'!F:F,'Inter-sector dataset'!R:R)</f>
        <v>0</v>
      </c>
      <c r="X108" s="1">
        <f>IFERROR(Table2[[#This Row],[Health_PIN]]*$V108,)</f>
        <v>0</v>
      </c>
      <c r="Y108" s="1">
        <f>IFERROR(Table2[[#This Row],[CCCM_PIN]]*$V108,)</f>
        <v>0</v>
      </c>
      <c r="Z108" s="1">
        <f>IFERROR(Table2[[#This Row],[ERL_PIN]]*$V108,)</f>
        <v>0</v>
      </c>
      <c r="AA108" s="1">
        <f>IFERROR(Table2[[#This Row],[NFI_PIN]]*$V108,)</f>
        <v>0</v>
      </c>
      <c r="AB108" s="1">
        <f>IFERROR(Table2[[#This Row],[Nutrition_PIN]]*$V108,)</f>
        <v>0</v>
      </c>
      <c r="AC108" s="1">
        <f>IFERROR(Table2[[#This Row],[Education_PIN]]*$V108,)</f>
        <v>0</v>
      </c>
      <c r="AD108" s="1">
        <f>IFERROR(Table2[[#This Row],[Shelter_PIN]]*$V108,)</f>
        <v>0</v>
      </c>
      <c r="AE108" s="1">
        <f>IFERROR(Table2[[#This Row],[WASH_PIN]]*$V108,)</f>
        <v>0</v>
      </c>
      <c r="AF108" s="1">
        <f>IFERROR(Table2[[#This Row],[WASH_acute_PIN]]*$V108,)</f>
        <v>0</v>
      </c>
      <c r="AG108" s="1">
        <f>IFERROR(Table2[[#This Row],[Protection_PIN]]*$V108,)</f>
        <v>0</v>
      </c>
      <c r="AH108" s="1">
        <f>IFERROR(Table2[[#This Row],[Food_PIN]]*$V108,)</f>
        <v>0</v>
      </c>
      <c r="AI108" s="1">
        <f>IFERROR(Table2[[#This Row],[Protection_CP_PIN]]*$V108,)</f>
        <v>0</v>
      </c>
      <c r="AJ108" s="1">
        <f>IFERROR(Table2[[#This Row],[Protection_GBV_PIN]]*$V108,)</f>
        <v>0</v>
      </c>
      <c r="AK108" s="1">
        <f>IFERROR(Table2[[#This Row],[Protection_MA_PIN]]*$V108,)</f>
        <v>0</v>
      </c>
      <c r="AL108" s="1">
        <f>IFERROR(Table2[[#This Row],[Health_PIN]]*$W108,)</f>
        <v>0</v>
      </c>
      <c r="AM108" s="1">
        <f>IFERROR(Table2[[#This Row],[CCCM_PIN]]*$W108,)</f>
        <v>0</v>
      </c>
      <c r="AN108" s="1">
        <f>IFERROR(Table2[[#This Row],[ERL_PIN]]*$W108,)</f>
        <v>0</v>
      </c>
      <c r="AO108" s="1">
        <f>IFERROR(Table2[[#This Row],[NFI_PIN]]*$W108,)</f>
        <v>0</v>
      </c>
      <c r="AP108" s="1">
        <f>IFERROR(Table2[[#This Row],[Nutrition_PIN]]*$W108,)</f>
        <v>0</v>
      </c>
      <c r="AQ108" s="1">
        <f>IFERROR(Table2[[#This Row],[Education_PIN]]*$W108,)</f>
        <v>0</v>
      </c>
      <c r="AR108" s="1">
        <f>IFERROR(Table2[[#This Row],[Shelter_PIN]]*$W108,)</f>
        <v>0</v>
      </c>
      <c r="AS108" s="1">
        <f>IFERROR(Table2[[#This Row],[WASH_PIN]]*$W108,)</f>
        <v>0</v>
      </c>
      <c r="AT108" s="1">
        <f>IFERROR(Table2[[#This Row],[WASH_acute_PIN]]*$W108,)</f>
        <v>0</v>
      </c>
      <c r="AU108" s="1">
        <f>IFERROR(Table2[[#This Row],[Protection_PIN]]*$W108,)</f>
        <v>0</v>
      </c>
      <c r="AV108" s="1">
        <f>IFERROR(Table2[[#This Row],[Food_PIN]]*$W108,)</f>
        <v>0</v>
      </c>
      <c r="AW108" s="1">
        <f>IFERROR(Table2[[#This Row],[Protection_CP_PIN]]*$W108,)</f>
        <v>0</v>
      </c>
      <c r="AX108" s="1">
        <f>IFERROR(Table2[[#This Row],[Protection_GBV_PIN]]*$W108,)</f>
        <v>0</v>
      </c>
      <c r="AY108" s="1">
        <f>IFERROR(Table2[[#This Row],[Protection_MA_PIN]]*$W108,)</f>
        <v>0</v>
      </c>
      <c r="AZ108" s="1">
        <v>2</v>
      </c>
      <c r="BA108" s="1">
        <v>4</v>
      </c>
      <c r="BB108" s="1">
        <v>3</v>
      </c>
      <c r="BC108" s="1">
        <v>1</v>
      </c>
      <c r="BD108" s="1">
        <v>3</v>
      </c>
      <c r="BE108" s="1">
        <v>4</v>
      </c>
      <c r="BF108" s="1">
        <v>3</v>
      </c>
      <c r="BG108" s="1">
        <v>3</v>
      </c>
      <c r="BH108" s="1">
        <v>4</v>
      </c>
      <c r="BI108" s="1">
        <v>3</v>
      </c>
      <c r="BJ108" s="1">
        <v>4</v>
      </c>
      <c r="BK108" s="1" t="s">
        <v>665</v>
      </c>
      <c r="BL108" s="1">
        <v>4</v>
      </c>
    </row>
    <row r="109" spans="1:64" x14ac:dyDescent="0.35">
      <c r="A109" t="s">
        <v>192</v>
      </c>
      <c r="B109" t="s">
        <v>711</v>
      </c>
      <c r="C109" t="s">
        <v>193</v>
      </c>
      <c r="D109" t="s">
        <v>479</v>
      </c>
      <c r="E109" t="s">
        <v>791</v>
      </c>
      <c r="F109" t="s">
        <v>480</v>
      </c>
      <c r="G109" t="s">
        <v>479</v>
      </c>
      <c r="H109" s="1">
        <v>45050.25</v>
      </c>
      <c r="I109" s="1">
        <v>10850</v>
      </c>
      <c r="J109" s="1">
        <v>34609</v>
      </c>
      <c r="K109" s="1">
        <v>14233</v>
      </c>
      <c r="L109" s="1">
        <v>19149.002404781546</v>
      </c>
      <c r="M109" s="1">
        <v>25218.5</v>
      </c>
      <c r="N109" s="1">
        <v>17810</v>
      </c>
      <c r="O109" s="1">
        <v>57042.86760899111</v>
      </c>
      <c r="P109" s="1">
        <v>18996</v>
      </c>
      <c r="Q109" s="1">
        <v>30034</v>
      </c>
      <c r="R109" s="1">
        <v>44767.931034482754</v>
      </c>
      <c r="S109" s="1">
        <v>19312.800000000003</v>
      </c>
      <c r="T109" s="1">
        <v>24980</v>
      </c>
      <c r="U109" s="1">
        <v>51296</v>
      </c>
      <c r="V109" s="3">
        <f>_xlfn.XLOOKUP(Table2[[#This Row],[admin3Pcode]],'Inter-sector dataset'!F:F,'Inter-sector dataset'!Q:Q)</f>
        <v>1</v>
      </c>
      <c r="W109" s="3">
        <f>_xlfn.XLOOKUP(Table2[[#This Row],[admin3Pcode]],'Inter-sector dataset'!F:F,'Inter-sector dataset'!R:R)</f>
        <v>0</v>
      </c>
      <c r="X109" s="1">
        <f>IFERROR(Table2[[#This Row],[Health_PIN]]*$V109,)</f>
        <v>45050.25</v>
      </c>
      <c r="Y109" s="1">
        <f>IFERROR(Table2[[#This Row],[CCCM_PIN]]*$V109,)</f>
        <v>10850</v>
      </c>
      <c r="Z109" s="1">
        <f>IFERROR(Table2[[#This Row],[ERL_PIN]]*$V109,)</f>
        <v>34609</v>
      </c>
      <c r="AA109" s="1">
        <f>IFERROR(Table2[[#This Row],[NFI_PIN]]*$V109,)</f>
        <v>14233</v>
      </c>
      <c r="AB109" s="1">
        <f>IFERROR(Table2[[#This Row],[Nutrition_PIN]]*$V109,)</f>
        <v>19149.002404781546</v>
      </c>
      <c r="AC109" s="1">
        <f>IFERROR(Table2[[#This Row],[Education_PIN]]*$V109,)</f>
        <v>25218.5</v>
      </c>
      <c r="AD109" s="1">
        <f>IFERROR(Table2[[#This Row],[Shelter_PIN]]*$V109,)</f>
        <v>17810</v>
      </c>
      <c r="AE109" s="1">
        <f>IFERROR(Table2[[#This Row],[WASH_PIN]]*$V109,)</f>
        <v>57042.86760899111</v>
      </c>
      <c r="AF109" s="1">
        <f>IFERROR(Table2[[#This Row],[WASH_acute_PIN]]*$V109,)</f>
        <v>18996</v>
      </c>
      <c r="AG109" s="1">
        <f>IFERROR(Table2[[#This Row],[Protection_PIN]]*$V109,)</f>
        <v>30034</v>
      </c>
      <c r="AH109" s="1">
        <f>IFERROR(Table2[[#This Row],[Food_PIN]]*$V109,)</f>
        <v>44767.931034482754</v>
      </c>
      <c r="AI109" s="1">
        <f>IFERROR(Table2[[#This Row],[Protection_CP_PIN]]*$V109,)</f>
        <v>19312.800000000003</v>
      </c>
      <c r="AJ109" s="1">
        <f>IFERROR(Table2[[#This Row],[Protection_GBV_PIN]]*$V109,)</f>
        <v>24980</v>
      </c>
      <c r="AK109" s="1">
        <f>IFERROR(Table2[[#This Row],[Protection_MA_PIN]]*$V109,)</f>
        <v>51296</v>
      </c>
      <c r="AL109" s="1">
        <f>IFERROR(Table2[[#This Row],[Health_PIN]]*$W109,)</f>
        <v>0</v>
      </c>
      <c r="AM109" s="1">
        <f>IFERROR(Table2[[#This Row],[CCCM_PIN]]*$W109,)</f>
        <v>0</v>
      </c>
      <c r="AN109" s="1">
        <f>IFERROR(Table2[[#This Row],[ERL_PIN]]*$W109,)</f>
        <v>0</v>
      </c>
      <c r="AO109" s="1">
        <f>IFERROR(Table2[[#This Row],[NFI_PIN]]*$W109,)</f>
        <v>0</v>
      </c>
      <c r="AP109" s="1">
        <f>IFERROR(Table2[[#This Row],[Nutrition_PIN]]*$W109,)</f>
        <v>0</v>
      </c>
      <c r="AQ109" s="1">
        <f>IFERROR(Table2[[#This Row],[Education_PIN]]*$W109,)</f>
        <v>0</v>
      </c>
      <c r="AR109" s="1">
        <f>IFERROR(Table2[[#This Row],[Shelter_PIN]]*$W109,)</f>
        <v>0</v>
      </c>
      <c r="AS109" s="1">
        <f>IFERROR(Table2[[#This Row],[WASH_PIN]]*$W109,)</f>
        <v>0</v>
      </c>
      <c r="AT109" s="1">
        <f>IFERROR(Table2[[#This Row],[WASH_acute_PIN]]*$W109,)</f>
        <v>0</v>
      </c>
      <c r="AU109" s="1">
        <f>IFERROR(Table2[[#This Row],[Protection_PIN]]*$W109,)</f>
        <v>0</v>
      </c>
      <c r="AV109" s="1">
        <f>IFERROR(Table2[[#This Row],[Food_PIN]]*$W109,)</f>
        <v>0</v>
      </c>
      <c r="AW109" s="1">
        <f>IFERROR(Table2[[#This Row],[Protection_CP_PIN]]*$W109,)</f>
        <v>0</v>
      </c>
      <c r="AX109" s="1">
        <f>IFERROR(Table2[[#This Row],[Protection_GBV_PIN]]*$W109,)</f>
        <v>0</v>
      </c>
      <c r="AY109" s="1">
        <f>IFERROR(Table2[[#This Row],[Protection_MA_PIN]]*$W109,)</f>
        <v>0</v>
      </c>
      <c r="AZ109" s="1">
        <v>3</v>
      </c>
      <c r="BA109" s="1">
        <v>3</v>
      </c>
      <c r="BB109" s="1">
        <v>4</v>
      </c>
      <c r="BC109" s="1">
        <v>3</v>
      </c>
      <c r="BD109" s="1">
        <v>3</v>
      </c>
      <c r="BE109" s="1">
        <v>4</v>
      </c>
      <c r="BF109" s="1">
        <v>3</v>
      </c>
      <c r="BG109" s="1">
        <v>3</v>
      </c>
      <c r="BH109" s="1">
        <v>4</v>
      </c>
      <c r="BI109" s="1">
        <v>3</v>
      </c>
      <c r="BJ109" s="1">
        <v>4</v>
      </c>
      <c r="BK109" s="1">
        <v>3</v>
      </c>
      <c r="BL109" s="1">
        <v>4</v>
      </c>
    </row>
    <row r="110" spans="1:64" x14ac:dyDescent="0.35">
      <c r="A110" t="s">
        <v>17</v>
      </c>
      <c r="B110" t="s">
        <v>663</v>
      </c>
      <c r="C110" t="s">
        <v>18</v>
      </c>
      <c r="D110" t="s">
        <v>101</v>
      </c>
      <c r="E110" t="s">
        <v>792</v>
      </c>
      <c r="F110" t="s">
        <v>103</v>
      </c>
      <c r="G110" t="s">
        <v>101</v>
      </c>
      <c r="H110" s="1">
        <v>31481</v>
      </c>
      <c r="I110" s="1" t="s">
        <v>665</v>
      </c>
      <c r="J110" s="1">
        <v>48899</v>
      </c>
      <c r="K110" s="1">
        <v>0</v>
      </c>
      <c r="L110" s="1">
        <v>13558.78349148919</v>
      </c>
      <c r="M110" s="1">
        <v>26313.316666666666</v>
      </c>
      <c r="N110" s="1">
        <v>12592</v>
      </c>
      <c r="O110" s="1">
        <v>0</v>
      </c>
      <c r="P110" s="1">
        <v>0</v>
      </c>
      <c r="Q110" s="1">
        <v>31481</v>
      </c>
      <c r="R110" s="1">
        <v>56665.799999999996</v>
      </c>
      <c r="S110" s="1">
        <v>11836</v>
      </c>
      <c r="T110" s="1">
        <v>17285</v>
      </c>
      <c r="U110" s="1">
        <v>62115</v>
      </c>
      <c r="V110" s="3">
        <f>_xlfn.XLOOKUP(Table2[[#This Row],[admin3Pcode]],'Inter-sector dataset'!F:F,'Inter-sector dataset'!Q:Q)</f>
        <v>0</v>
      </c>
      <c r="W110" s="3">
        <f>_xlfn.XLOOKUP(Table2[[#This Row],[admin3Pcode]],'Inter-sector dataset'!F:F,'Inter-sector dataset'!R:R)</f>
        <v>0</v>
      </c>
      <c r="X110" s="1">
        <f>IFERROR(Table2[[#This Row],[Health_PIN]]*$V110,)</f>
        <v>0</v>
      </c>
      <c r="Y110" s="1">
        <f>IFERROR(Table2[[#This Row],[CCCM_PIN]]*$V110,)</f>
        <v>0</v>
      </c>
      <c r="Z110" s="1">
        <f>IFERROR(Table2[[#This Row],[ERL_PIN]]*$V110,)</f>
        <v>0</v>
      </c>
      <c r="AA110" s="1">
        <f>IFERROR(Table2[[#This Row],[NFI_PIN]]*$V110,)</f>
        <v>0</v>
      </c>
      <c r="AB110" s="1">
        <f>IFERROR(Table2[[#This Row],[Nutrition_PIN]]*$V110,)</f>
        <v>0</v>
      </c>
      <c r="AC110" s="1">
        <f>IFERROR(Table2[[#This Row],[Education_PIN]]*$V110,)</f>
        <v>0</v>
      </c>
      <c r="AD110" s="1">
        <f>IFERROR(Table2[[#This Row],[Shelter_PIN]]*$V110,)</f>
        <v>0</v>
      </c>
      <c r="AE110" s="1">
        <f>IFERROR(Table2[[#This Row],[WASH_PIN]]*$V110,)</f>
        <v>0</v>
      </c>
      <c r="AF110" s="1">
        <f>IFERROR(Table2[[#This Row],[WASH_acute_PIN]]*$V110,)</f>
        <v>0</v>
      </c>
      <c r="AG110" s="1">
        <f>IFERROR(Table2[[#This Row],[Protection_PIN]]*$V110,)</f>
        <v>0</v>
      </c>
      <c r="AH110" s="1">
        <f>IFERROR(Table2[[#This Row],[Food_PIN]]*$V110,)</f>
        <v>0</v>
      </c>
      <c r="AI110" s="1">
        <f>IFERROR(Table2[[#This Row],[Protection_CP_PIN]]*$V110,)</f>
        <v>0</v>
      </c>
      <c r="AJ110" s="1">
        <f>IFERROR(Table2[[#This Row],[Protection_GBV_PIN]]*$V110,)</f>
        <v>0</v>
      </c>
      <c r="AK110" s="1">
        <f>IFERROR(Table2[[#This Row],[Protection_MA_PIN]]*$V110,)</f>
        <v>0</v>
      </c>
      <c r="AL110" s="1">
        <f>IFERROR(Table2[[#This Row],[Health_PIN]]*$W110,)</f>
        <v>0</v>
      </c>
      <c r="AM110" s="1">
        <f>IFERROR(Table2[[#This Row],[CCCM_PIN]]*$W110,)</f>
        <v>0</v>
      </c>
      <c r="AN110" s="1">
        <f>IFERROR(Table2[[#This Row],[ERL_PIN]]*$W110,)</f>
        <v>0</v>
      </c>
      <c r="AO110" s="1">
        <f>IFERROR(Table2[[#This Row],[NFI_PIN]]*$W110,)</f>
        <v>0</v>
      </c>
      <c r="AP110" s="1">
        <f>IFERROR(Table2[[#This Row],[Nutrition_PIN]]*$W110,)</f>
        <v>0</v>
      </c>
      <c r="AQ110" s="1">
        <f>IFERROR(Table2[[#This Row],[Education_PIN]]*$W110,)</f>
        <v>0</v>
      </c>
      <c r="AR110" s="1">
        <f>IFERROR(Table2[[#This Row],[Shelter_PIN]]*$W110,)</f>
        <v>0</v>
      </c>
      <c r="AS110" s="1">
        <f>IFERROR(Table2[[#This Row],[WASH_PIN]]*$W110,)</f>
        <v>0</v>
      </c>
      <c r="AT110" s="1">
        <f>IFERROR(Table2[[#This Row],[WASH_acute_PIN]]*$W110,)</f>
        <v>0</v>
      </c>
      <c r="AU110" s="1">
        <f>IFERROR(Table2[[#This Row],[Protection_PIN]]*$W110,)</f>
        <v>0</v>
      </c>
      <c r="AV110" s="1">
        <f>IFERROR(Table2[[#This Row],[Food_PIN]]*$W110,)</f>
        <v>0</v>
      </c>
      <c r="AW110" s="1">
        <f>IFERROR(Table2[[#This Row],[Protection_CP_PIN]]*$W110,)</f>
        <v>0</v>
      </c>
      <c r="AX110" s="1">
        <f>IFERROR(Table2[[#This Row],[Protection_GBV_PIN]]*$W110,)</f>
        <v>0</v>
      </c>
      <c r="AY110" s="1">
        <f>IFERROR(Table2[[#This Row],[Protection_MA_PIN]]*$W110,)</f>
        <v>0</v>
      </c>
      <c r="AZ110" s="1">
        <v>2</v>
      </c>
      <c r="BA110" s="1">
        <v>3</v>
      </c>
      <c r="BB110" s="1">
        <v>4</v>
      </c>
      <c r="BC110" s="1">
        <v>1</v>
      </c>
      <c r="BD110" s="1">
        <v>3</v>
      </c>
      <c r="BE110" s="1">
        <v>3</v>
      </c>
      <c r="BF110" s="1">
        <v>3</v>
      </c>
      <c r="BG110" s="1">
        <v>3</v>
      </c>
      <c r="BH110" s="1">
        <v>3</v>
      </c>
      <c r="BI110" s="1">
        <v>3</v>
      </c>
      <c r="BJ110" s="1">
        <v>4</v>
      </c>
      <c r="BK110" s="1" t="s">
        <v>665</v>
      </c>
      <c r="BL110" s="1">
        <v>2</v>
      </c>
    </row>
    <row r="111" spans="1:64" x14ac:dyDescent="0.35">
      <c r="A111" t="s">
        <v>17</v>
      </c>
      <c r="B111" t="s">
        <v>663</v>
      </c>
      <c r="C111" t="s">
        <v>18</v>
      </c>
      <c r="D111" t="s">
        <v>189</v>
      </c>
      <c r="E111" t="s">
        <v>793</v>
      </c>
      <c r="F111" t="s">
        <v>191</v>
      </c>
      <c r="G111" t="s">
        <v>189</v>
      </c>
      <c r="H111" s="1">
        <v>32069.5</v>
      </c>
      <c r="I111" s="1" t="s">
        <v>665</v>
      </c>
      <c r="J111" s="1">
        <v>62911</v>
      </c>
      <c r="K111" s="1">
        <v>14495</v>
      </c>
      <c r="L111" s="1">
        <v>14933.757092139025</v>
      </c>
      <c r="M111" s="1">
        <v>21165.766666666666</v>
      </c>
      <c r="N111" s="1">
        <v>9852</v>
      </c>
      <c r="O111" s="1">
        <v>115.48148232559197</v>
      </c>
      <c r="P111" s="1">
        <v>0</v>
      </c>
      <c r="Q111" s="1">
        <v>32070</v>
      </c>
      <c r="R111" s="1">
        <v>46160.643939393929</v>
      </c>
      <c r="S111" s="1">
        <v>16155.6</v>
      </c>
      <c r="T111" s="1">
        <v>18811</v>
      </c>
      <c r="U111" s="1">
        <v>8668</v>
      </c>
      <c r="V111" s="3">
        <f>_xlfn.XLOOKUP(Table2[[#This Row],[admin3Pcode]],'Inter-sector dataset'!F:F,'Inter-sector dataset'!Q:Q)</f>
        <v>0</v>
      </c>
      <c r="W111" s="3">
        <f>_xlfn.XLOOKUP(Table2[[#This Row],[admin3Pcode]],'Inter-sector dataset'!F:F,'Inter-sector dataset'!R:R)</f>
        <v>0</v>
      </c>
      <c r="X111" s="1">
        <f>IFERROR(Table2[[#This Row],[Health_PIN]]*$V111,)</f>
        <v>0</v>
      </c>
      <c r="Y111" s="1">
        <f>IFERROR(Table2[[#This Row],[CCCM_PIN]]*$V111,)</f>
        <v>0</v>
      </c>
      <c r="Z111" s="1">
        <f>IFERROR(Table2[[#This Row],[ERL_PIN]]*$V111,)</f>
        <v>0</v>
      </c>
      <c r="AA111" s="1">
        <f>IFERROR(Table2[[#This Row],[NFI_PIN]]*$V111,)</f>
        <v>0</v>
      </c>
      <c r="AB111" s="1">
        <f>IFERROR(Table2[[#This Row],[Nutrition_PIN]]*$V111,)</f>
        <v>0</v>
      </c>
      <c r="AC111" s="1">
        <f>IFERROR(Table2[[#This Row],[Education_PIN]]*$V111,)</f>
        <v>0</v>
      </c>
      <c r="AD111" s="1">
        <f>IFERROR(Table2[[#This Row],[Shelter_PIN]]*$V111,)</f>
        <v>0</v>
      </c>
      <c r="AE111" s="1">
        <f>IFERROR(Table2[[#This Row],[WASH_PIN]]*$V111,)</f>
        <v>0</v>
      </c>
      <c r="AF111" s="1">
        <f>IFERROR(Table2[[#This Row],[WASH_acute_PIN]]*$V111,)</f>
        <v>0</v>
      </c>
      <c r="AG111" s="1">
        <f>IFERROR(Table2[[#This Row],[Protection_PIN]]*$V111,)</f>
        <v>0</v>
      </c>
      <c r="AH111" s="1">
        <f>IFERROR(Table2[[#This Row],[Food_PIN]]*$V111,)</f>
        <v>0</v>
      </c>
      <c r="AI111" s="1">
        <f>IFERROR(Table2[[#This Row],[Protection_CP_PIN]]*$V111,)</f>
        <v>0</v>
      </c>
      <c r="AJ111" s="1">
        <f>IFERROR(Table2[[#This Row],[Protection_GBV_PIN]]*$V111,)</f>
        <v>0</v>
      </c>
      <c r="AK111" s="1">
        <f>IFERROR(Table2[[#This Row],[Protection_MA_PIN]]*$V111,)</f>
        <v>0</v>
      </c>
      <c r="AL111" s="1">
        <f>IFERROR(Table2[[#This Row],[Health_PIN]]*$W111,)</f>
        <v>0</v>
      </c>
      <c r="AM111" s="1">
        <f>IFERROR(Table2[[#This Row],[CCCM_PIN]]*$W111,)</f>
        <v>0</v>
      </c>
      <c r="AN111" s="1">
        <f>IFERROR(Table2[[#This Row],[ERL_PIN]]*$W111,)</f>
        <v>0</v>
      </c>
      <c r="AO111" s="1">
        <f>IFERROR(Table2[[#This Row],[NFI_PIN]]*$W111,)</f>
        <v>0</v>
      </c>
      <c r="AP111" s="1">
        <f>IFERROR(Table2[[#This Row],[Nutrition_PIN]]*$W111,)</f>
        <v>0</v>
      </c>
      <c r="AQ111" s="1">
        <f>IFERROR(Table2[[#This Row],[Education_PIN]]*$W111,)</f>
        <v>0</v>
      </c>
      <c r="AR111" s="1">
        <f>IFERROR(Table2[[#This Row],[Shelter_PIN]]*$W111,)</f>
        <v>0</v>
      </c>
      <c r="AS111" s="1">
        <f>IFERROR(Table2[[#This Row],[WASH_PIN]]*$W111,)</f>
        <v>0</v>
      </c>
      <c r="AT111" s="1">
        <f>IFERROR(Table2[[#This Row],[WASH_acute_PIN]]*$W111,)</f>
        <v>0</v>
      </c>
      <c r="AU111" s="1">
        <f>IFERROR(Table2[[#This Row],[Protection_PIN]]*$W111,)</f>
        <v>0</v>
      </c>
      <c r="AV111" s="1">
        <f>IFERROR(Table2[[#This Row],[Food_PIN]]*$W111,)</f>
        <v>0</v>
      </c>
      <c r="AW111" s="1">
        <f>IFERROR(Table2[[#This Row],[Protection_CP_PIN]]*$W111,)</f>
        <v>0</v>
      </c>
      <c r="AX111" s="1">
        <f>IFERROR(Table2[[#This Row],[Protection_GBV_PIN]]*$W111,)</f>
        <v>0</v>
      </c>
      <c r="AY111" s="1">
        <f>IFERROR(Table2[[#This Row],[Protection_MA_PIN]]*$W111,)</f>
        <v>0</v>
      </c>
      <c r="AZ111" s="1">
        <v>3</v>
      </c>
      <c r="BA111" s="1">
        <v>3</v>
      </c>
      <c r="BB111" s="1">
        <v>4</v>
      </c>
      <c r="BC111" s="1">
        <v>3</v>
      </c>
      <c r="BD111" s="1">
        <v>3</v>
      </c>
      <c r="BE111" s="1">
        <v>3</v>
      </c>
      <c r="BF111" s="1">
        <v>3</v>
      </c>
      <c r="BG111" s="1">
        <v>4</v>
      </c>
      <c r="BH111" s="1">
        <v>3</v>
      </c>
      <c r="BI111" s="1">
        <v>3</v>
      </c>
      <c r="BJ111" s="1">
        <v>4</v>
      </c>
      <c r="BK111" s="1" t="s">
        <v>665</v>
      </c>
      <c r="BL111" s="1">
        <v>2</v>
      </c>
    </row>
    <row r="112" spans="1:64" x14ac:dyDescent="0.35">
      <c r="A112" t="s">
        <v>326</v>
      </c>
      <c r="B112" t="s">
        <v>726</v>
      </c>
      <c r="C112" t="s">
        <v>327</v>
      </c>
      <c r="D112" t="s">
        <v>329</v>
      </c>
      <c r="E112" t="s">
        <v>794</v>
      </c>
      <c r="F112" t="s">
        <v>330</v>
      </c>
      <c r="G112" t="s">
        <v>329</v>
      </c>
      <c r="H112" s="1">
        <v>33358.5</v>
      </c>
      <c r="I112" s="1" t="s">
        <v>665</v>
      </c>
      <c r="J112" s="1">
        <v>64151</v>
      </c>
      <c r="K112" s="1">
        <v>20015</v>
      </c>
      <c r="L112" s="1">
        <v>22243.259761806352</v>
      </c>
      <c r="M112" s="1">
        <v>7038.9842452360244</v>
      </c>
      <c r="N112" s="1">
        <v>13406</v>
      </c>
      <c r="O112" s="1">
        <v>57935.475676969356</v>
      </c>
      <c r="P112" s="1">
        <v>25255</v>
      </c>
      <c r="Q112" s="1">
        <v>33359</v>
      </c>
      <c r="R112" s="1">
        <v>56788.875</v>
      </c>
      <c r="S112" s="1">
        <v>19433.699999999997</v>
      </c>
      <c r="T112" s="1">
        <v>28003</v>
      </c>
      <c r="U112" s="1">
        <v>65514</v>
      </c>
      <c r="V112" s="3">
        <f>_xlfn.XLOOKUP(Table2[[#This Row],[admin3Pcode]],'Inter-sector dataset'!F:F,'Inter-sector dataset'!Q:Q)</f>
        <v>0</v>
      </c>
      <c r="W112" s="3">
        <f>_xlfn.XLOOKUP(Table2[[#This Row],[admin3Pcode]],'Inter-sector dataset'!F:F,'Inter-sector dataset'!R:R)</f>
        <v>0</v>
      </c>
      <c r="X112" s="1">
        <f>IFERROR(Table2[[#This Row],[Health_PIN]]*$V112,)</f>
        <v>0</v>
      </c>
      <c r="Y112" s="1">
        <f>IFERROR(Table2[[#This Row],[CCCM_PIN]]*$V112,)</f>
        <v>0</v>
      </c>
      <c r="Z112" s="1">
        <f>IFERROR(Table2[[#This Row],[ERL_PIN]]*$V112,)</f>
        <v>0</v>
      </c>
      <c r="AA112" s="1">
        <f>IFERROR(Table2[[#This Row],[NFI_PIN]]*$V112,)</f>
        <v>0</v>
      </c>
      <c r="AB112" s="1">
        <f>IFERROR(Table2[[#This Row],[Nutrition_PIN]]*$V112,)</f>
        <v>0</v>
      </c>
      <c r="AC112" s="1">
        <f>IFERROR(Table2[[#This Row],[Education_PIN]]*$V112,)</f>
        <v>0</v>
      </c>
      <c r="AD112" s="1">
        <f>IFERROR(Table2[[#This Row],[Shelter_PIN]]*$V112,)</f>
        <v>0</v>
      </c>
      <c r="AE112" s="1">
        <f>IFERROR(Table2[[#This Row],[WASH_PIN]]*$V112,)</f>
        <v>0</v>
      </c>
      <c r="AF112" s="1">
        <f>IFERROR(Table2[[#This Row],[WASH_acute_PIN]]*$V112,)</f>
        <v>0</v>
      </c>
      <c r="AG112" s="1">
        <f>IFERROR(Table2[[#This Row],[Protection_PIN]]*$V112,)</f>
        <v>0</v>
      </c>
      <c r="AH112" s="1">
        <f>IFERROR(Table2[[#This Row],[Food_PIN]]*$V112,)</f>
        <v>0</v>
      </c>
      <c r="AI112" s="1">
        <f>IFERROR(Table2[[#This Row],[Protection_CP_PIN]]*$V112,)</f>
        <v>0</v>
      </c>
      <c r="AJ112" s="1">
        <f>IFERROR(Table2[[#This Row],[Protection_GBV_PIN]]*$V112,)</f>
        <v>0</v>
      </c>
      <c r="AK112" s="1">
        <f>IFERROR(Table2[[#This Row],[Protection_MA_PIN]]*$V112,)</f>
        <v>0</v>
      </c>
      <c r="AL112" s="1">
        <f>IFERROR(Table2[[#This Row],[Health_PIN]]*$W112,)</f>
        <v>0</v>
      </c>
      <c r="AM112" s="1">
        <f>IFERROR(Table2[[#This Row],[CCCM_PIN]]*$W112,)</f>
        <v>0</v>
      </c>
      <c r="AN112" s="1">
        <f>IFERROR(Table2[[#This Row],[ERL_PIN]]*$W112,)</f>
        <v>0</v>
      </c>
      <c r="AO112" s="1">
        <f>IFERROR(Table2[[#This Row],[NFI_PIN]]*$W112,)</f>
        <v>0</v>
      </c>
      <c r="AP112" s="1">
        <f>IFERROR(Table2[[#This Row],[Nutrition_PIN]]*$W112,)</f>
        <v>0</v>
      </c>
      <c r="AQ112" s="1">
        <f>IFERROR(Table2[[#This Row],[Education_PIN]]*$W112,)</f>
        <v>0</v>
      </c>
      <c r="AR112" s="1">
        <f>IFERROR(Table2[[#This Row],[Shelter_PIN]]*$W112,)</f>
        <v>0</v>
      </c>
      <c r="AS112" s="1">
        <f>IFERROR(Table2[[#This Row],[WASH_PIN]]*$W112,)</f>
        <v>0</v>
      </c>
      <c r="AT112" s="1">
        <f>IFERROR(Table2[[#This Row],[WASH_acute_PIN]]*$W112,)</f>
        <v>0</v>
      </c>
      <c r="AU112" s="1">
        <f>IFERROR(Table2[[#This Row],[Protection_PIN]]*$W112,)</f>
        <v>0</v>
      </c>
      <c r="AV112" s="1">
        <f>IFERROR(Table2[[#This Row],[Food_PIN]]*$W112,)</f>
        <v>0</v>
      </c>
      <c r="AW112" s="1">
        <f>IFERROR(Table2[[#This Row],[Protection_CP_PIN]]*$W112,)</f>
        <v>0</v>
      </c>
      <c r="AX112" s="1">
        <f>IFERROR(Table2[[#This Row],[Protection_GBV_PIN]]*$W112,)</f>
        <v>0</v>
      </c>
      <c r="AY112" s="1">
        <f>IFERROR(Table2[[#This Row],[Protection_MA_PIN]]*$W112,)</f>
        <v>0</v>
      </c>
      <c r="AZ112" s="1">
        <v>3</v>
      </c>
      <c r="BA112" s="1">
        <v>4</v>
      </c>
      <c r="BB112" s="1">
        <v>4</v>
      </c>
      <c r="BC112" s="1">
        <v>3</v>
      </c>
      <c r="BD112" s="1">
        <v>4</v>
      </c>
      <c r="BE112" s="1">
        <v>3</v>
      </c>
      <c r="BF112" s="1">
        <v>3</v>
      </c>
      <c r="BG112" s="1">
        <v>4</v>
      </c>
      <c r="BH112" s="1">
        <v>4</v>
      </c>
      <c r="BI112" s="1">
        <v>3</v>
      </c>
      <c r="BJ112" s="1">
        <v>4</v>
      </c>
      <c r="BK112" s="1" t="s">
        <v>665</v>
      </c>
      <c r="BL112" s="1">
        <v>4</v>
      </c>
    </row>
    <row r="113" spans="1:64" x14ac:dyDescent="0.35">
      <c r="A113" t="s">
        <v>6</v>
      </c>
      <c r="B113" t="s">
        <v>667</v>
      </c>
      <c r="C113" t="s">
        <v>7</v>
      </c>
      <c r="D113" t="s">
        <v>8</v>
      </c>
      <c r="E113" t="s">
        <v>795</v>
      </c>
      <c r="F113" t="s">
        <v>92</v>
      </c>
      <c r="G113" t="s">
        <v>8</v>
      </c>
      <c r="H113" s="1">
        <v>35562.5</v>
      </c>
      <c r="I113" s="1" t="s">
        <v>665</v>
      </c>
      <c r="J113" s="1">
        <v>57580</v>
      </c>
      <c r="K113" s="1">
        <v>6396</v>
      </c>
      <c r="L113" s="1">
        <v>13851.501598437055</v>
      </c>
      <c r="M113" s="1">
        <v>22516.333333333332</v>
      </c>
      <c r="N113" s="1">
        <v>6396</v>
      </c>
      <c r="O113" s="1">
        <v>18436.044027470158</v>
      </c>
      <c r="P113" s="1">
        <v>1051</v>
      </c>
      <c r="Q113" s="1">
        <v>35563</v>
      </c>
      <c r="R113" s="1">
        <v>36056.423611111109</v>
      </c>
      <c r="S113" s="1">
        <v>16472.7</v>
      </c>
      <c r="T113" s="1">
        <v>11940</v>
      </c>
      <c r="U113" s="1">
        <v>31979</v>
      </c>
      <c r="V113" s="3">
        <f>_xlfn.XLOOKUP(Table2[[#This Row],[admin3Pcode]],'Inter-sector dataset'!F:F,'Inter-sector dataset'!Q:Q)</f>
        <v>0</v>
      </c>
      <c r="W113" s="3">
        <f>_xlfn.XLOOKUP(Table2[[#This Row],[admin3Pcode]],'Inter-sector dataset'!F:F,'Inter-sector dataset'!R:R)</f>
        <v>0</v>
      </c>
      <c r="X113" s="1">
        <f>IFERROR(Table2[[#This Row],[Health_PIN]]*$V113,)</f>
        <v>0</v>
      </c>
      <c r="Y113" s="1">
        <f>IFERROR(Table2[[#This Row],[CCCM_PIN]]*$V113,)</f>
        <v>0</v>
      </c>
      <c r="Z113" s="1">
        <f>IFERROR(Table2[[#This Row],[ERL_PIN]]*$V113,)</f>
        <v>0</v>
      </c>
      <c r="AA113" s="1">
        <f>IFERROR(Table2[[#This Row],[NFI_PIN]]*$V113,)</f>
        <v>0</v>
      </c>
      <c r="AB113" s="1">
        <f>IFERROR(Table2[[#This Row],[Nutrition_PIN]]*$V113,)</f>
        <v>0</v>
      </c>
      <c r="AC113" s="1">
        <f>IFERROR(Table2[[#This Row],[Education_PIN]]*$V113,)</f>
        <v>0</v>
      </c>
      <c r="AD113" s="1">
        <f>IFERROR(Table2[[#This Row],[Shelter_PIN]]*$V113,)</f>
        <v>0</v>
      </c>
      <c r="AE113" s="1">
        <f>IFERROR(Table2[[#This Row],[WASH_PIN]]*$V113,)</f>
        <v>0</v>
      </c>
      <c r="AF113" s="1">
        <f>IFERROR(Table2[[#This Row],[WASH_acute_PIN]]*$V113,)</f>
        <v>0</v>
      </c>
      <c r="AG113" s="1">
        <f>IFERROR(Table2[[#This Row],[Protection_PIN]]*$V113,)</f>
        <v>0</v>
      </c>
      <c r="AH113" s="1">
        <f>IFERROR(Table2[[#This Row],[Food_PIN]]*$V113,)</f>
        <v>0</v>
      </c>
      <c r="AI113" s="1">
        <f>IFERROR(Table2[[#This Row],[Protection_CP_PIN]]*$V113,)</f>
        <v>0</v>
      </c>
      <c r="AJ113" s="1">
        <f>IFERROR(Table2[[#This Row],[Protection_GBV_PIN]]*$V113,)</f>
        <v>0</v>
      </c>
      <c r="AK113" s="1">
        <f>IFERROR(Table2[[#This Row],[Protection_MA_PIN]]*$V113,)</f>
        <v>0</v>
      </c>
      <c r="AL113" s="1">
        <f>IFERROR(Table2[[#This Row],[Health_PIN]]*$W113,)</f>
        <v>0</v>
      </c>
      <c r="AM113" s="1">
        <f>IFERROR(Table2[[#This Row],[CCCM_PIN]]*$W113,)</f>
        <v>0</v>
      </c>
      <c r="AN113" s="1">
        <f>IFERROR(Table2[[#This Row],[ERL_PIN]]*$W113,)</f>
        <v>0</v>
      </c>
      <c r="AO113" s="1">
        <f>IFERROR(Table2[[#This Row],[NFI_PIN]]*$W113,)</f>
        <v>0</v>
      </c>
      <c r="AP113" s="1">
        <f>IFERROR(Table2[[#This Row],[Nutrition_PIN]]*$W113,)</f>
        <v>0</v>
      </c>
      <c r="AQ113" s="1">
        <f>IFERROR(Table2[[#This Row],[Education_PIN]]*$W113,)</f>
        <v>0</v>
      </c>
      <c r="AR113" s="1">
        <f>IFERROR(Table2[[#This Row],[Shelter_PIN]]*$W113,)</f>
        <v>0</v>
      </c>
      <c r="AS113" s="1">
        <f>IFERROR(Table2[[#This Row],[WASH_PIN]]*$W113,)</f>
        <v>0</v>
      </c>
      <c r="AT113" s="1">
        <f>IFERROR(Table2[[#This Row],[WASH_acute_PIN]]*$W113,)</f>
        <v>0</v>
      </c>
      <c r="AU113" s="1">
        <f>IFERROR(Table2[[#This Row],[Protection_PIN]]*$W113,)</f>
        <v>0</v>
      </c>
      <c r="AV113" s="1">
        <f>IFERROR(Table2[[#This Row],[Food_PIN]]*$W113,)</f>
        <v>0</v>
      </c>
      <c r="AW113" s="1">
        <f>IFERROR(Table2[[#This Row],[Protection_CP_PIN]]*$W113,)</f>
        <v>0</v>
      </c>
      <c r="AX113" s="1">
        <f>IFERROR(Table2[[#This Row],[Protection_GBV_PIN]]*$W113,)</f>
        <v>0</v>
      </c>
      <c r="AY113" s="1">
        <f>IFERROR(Table2[[#This Row],[Protection_MA_PIN]]*$W113,)</f>
        <v>0</v>
      </c>
      <c r="AZ113" s="1">
        <v>2</v>
      </c>
      <c r="BA113" s="1">
        <v>3</v>
      </c>
      <c r="BB113" s="1">
        <v>4</v>
      </c>
      <c r="BC113" s="1">
        <v>2</v>
      </c>
      <c r="BD113" s="1">
        <v>3</v>
      </c>
      <c r="BE113" s="1">
        <v>3</v>
      </c>
      <c r="BF113" s="1">
        <v>3</v>
      </c>
      <c r="BG113" s="1">
        <v>4</v>
      </c>
      <c r="BH113" s="1">
        <v>2</v>
      </c>
      <c r="BI113" s="1">
        <v>3</v>
      </c>
      <c r="BJ113" s="1">
        <v>3</v>
      </c>
      <c r="BK113" s="1" t="s">
        <v>665</v>
      </c>
      <c r="BL113" s="1">
        <v>3</v>
      </c>
    </row>
    <row r="114" spans="1:64" x14ac:dyDescent="0.35">
      <c r="A114" t="s">
        <v>104</v>
      </c>
      <c r="B114" t="s">
        <v>677</v>
      </c>
      <c r="C114" t="s">
        <v>105</v>
      </c>
      <c r="D114" t="s">
        <v>218</v>
      </c>
      <c r="E114" t="s">
        <v>796</v>
      </c>
      <c r="F114" t="s">
        <v>219</v>
      </c>
      <c r="G114" t="s">
        <v>218</v>
      </c>
      <c r="H114" s="1">
        <v>36764.5</v>
      </c>
      <c r="I114" s="1" t="s">
        <v>665</v>
      </c>
      <c r="J114" s="1">
        <v>48096</v>
      </c>
      <c r="K114" s="1">
        <v>16686</v>
      </c>
      <c r="L114" s="1">
        <v>15910.544838224243</v>
      </c>
      <c r="M114" s="1">
        <v>29694.9</v>
      </c>
      <c r="N114" s="1">
        <v>18474</v>
      </c>
      <c r="O114" s="1">
        <v>19912.907444270419</v>
      </c>
      <c r="P114" s="1">
        <v>0</v>
      </c>
      <c r="Q114" s="1">
        <v>36765</v>
      </c>
      <c r="R114" s="1">
        <v>44780.819548872176</v>
      </c>
      <c r="S114" s="1">
        <v>20021.699999999997</v>
      </c>
      <c r="T114" s="1">
        <v>32050</v>
      </c>
      <c r="U114" s="1">
        <v>73529</v>
      </c>
      <c r="V114" s="3">
        <f>_xlfn.XLOOKUP(Table2[[#This Row],[admin3Pcode]],'Inter-sector dataset'!F:F,'Inter-sector dataset'!Q:Q)</f>
        <v>0</v>
      </c>
      <c r="W114" s="3">
        <f>_xlfn.XLOOKUP(Table2[[#This Row],[admin3Pcode]],'Inter-sector dataset'!F:F,'Inter-sector dataset'!R:R)</f>
        <v>0</v>
      </c>
      <c r="X114" s="1">
        <f>IFERROR(Table2[[#This Row],[Health_PIN]]*$V114,)</f>
        <v>0</v>
      </c>
      <c r="Y114" s="1">
        <f>IFERROR(Table2[[#This Row],[CCCM_PIN]]*$V114,)</f>
        <v>0</v>
      </c>
      <c r="Z114" s="1">
        <f>IFERROR(Table2[[#This Row],[ERL_PIN]]*$V114,)</f>
        <v>0</v>
      </c>
      <c r="AA114" s="1">
        <f>IFERROR(Table2[[#This Row],[NFI_PIN]]*$V114,)</f>
        <v>0</v>
      </c>
      <c r="AB114" s="1">
        <f>IFERROR(Table2[[#This Row],[Nutrition_PIN]]*$V114,)</f>
        <v>0</v>
      </c>
      <c r="AC114" s="1">
        <f>IFERROR(Table2[[#This Row],[Education_PIN]]*$V114,)</f>
        <v>0</v>
      </c>
      <c r="AD114" s="1">
        <f>IFERROR(Table2[[#This Row],[Shelter_PIN]]*$V114,)</f>
        <v>0</v>
      </c>
      <c r="AE114" s="1">
        <f>IFERROR(Table2[[#This Row],[WASH_PIN]]*$V114,)</f>
        <v>0</v>
      </c>
      <c r="AF114" s="1">
        <f>IFERROR(Table2[[#This Row],[WASH_acute_PIN]]*$V114,)</f>
        <v>0</v>
      </c>
      <c r="AG114" s="1">
        <f>IFERROR(Table2[[#This Row],[Protection_PIN]]*$V114,)</f>
        <v>0</v>
      </c>
      <c r="AH114" s="1">
        <f>IFERROR(Table2[[#This Row],[Food_PIN]]*$V114,)</f>
        <v>0</v>
      </c>
      <c r="AI114" s="1">
        <f>IFERROR(Table2[[#This Row],[Protection_CP_PIN]]*$V114,)</f>
        <v>0</v>
      </c>
      <c r="AJ114" s="1">
        <f>IFERROR(Table2[[#This Row],[Protection_GBV_PIN]]*$V114,)</f>
        <v>0</v>
      </c>
      <c r="AK114" s="1">
        <f>IFERROR(Table2[[#This Row],[Protection_MA_PIN]]*$V114,)</f>
        <v>0</v>
      </c>
      <c r="AL114" s="1">
        <f>IFERROR(Table2[[#This Row],[Health_PIN]]*$W114,)</f>
        <v>0</v>
      </c>
      <c r="AM114" s="1">
        <f>IFERROR(Table2[[#This Row],[CCCM_PIN]]*$W114,)</f>
        <v>0</v>
      </c>
      <c r="AN114" s="1">
        <f>IFERROR(Table2[[#This Row],[ERL_PIN]]*$W114,)</f>
        <v>0</v>
      </c>
      <c r="AO114" s="1">
        <f>IFERROR(Table2[[#This Row],[NFI_PIN]]*$W114,)</f>
        <v>0</v>
      </c>
      <c r="AP114" s="1">
        <f>IFERROR(Table2[[#This Row],[Nutrition_PIN]]*$W114,)</f>
        <v>0</v>
      </c>
      <c r="AQ114" s="1">
        <f>IFERROR(Table2[[#This Row],[Education_PIN]]*$W114,)</f>
        <v>0</v>
      </c>
      <c r="AR114" s="1">
        <f>IFERROR(Table2[[#This Row],[Shelter_PIN]]*$W114,)</f>
        <v>0</v>
      </c>
      <c r="AS114" s="1">
        <f>IFERROR(Table2[[#This Row],[WASH_PIN]]*$W114,)</f>
        <v>0</v>
      </c>
      <c r="AT114" s="1">
        <f>IFERROR(Table2[[#This Row],[WASH_acute_PIN]]*$W114,)</f>
        <v>0</v>
      </c>
      <c r="AU114" s="1">
        <f>IFERROR(Table2[[#This Row],[Protection_PIN]]*$W114,)</f>
        <v>0</v>
      </c>
      <c r="AV114" s="1">
        <f>IFERROR(Table2[[#This Row],[Food_PIN]]*$W114,)</f>
        <v>0</v>
      </c>
      <c r="AW114" s="1">
        <f>IFERROR(Table2[[#This Row],[Protection_CP_PIN]]*$W114,)</f>
        <v>0</v>
      </c>
      <c r="AX114" s="1">
        <f>IFERROR(Table2[[#This Row],[Protection_GBV_PIN]]*$W114,)</f>
        <v>0</v>
      </c>
      <c r="AY114" s="1">
        <f>IFERROR(Table2[[#This Row],[Protection_MA_PIN]]*$W114,)</f>
        <v>0</v>
      </c>
      <c r="AZ114" s="1">
        <v>3</v>
      </c>
      <c r="BA114" s="1">
        <v>3</v>
      </c>
      <c r="BB114" s="1">
        <v>3</v>
      </c>
      <c r="BC114" s="1">
        <v>3</v>
      </c>
      <c r="BD114" s="1">
        <v>3</v>
      </c>
      <c r="BE114" s="1">
        <v>3</v>
      </c>
      <c r="BF114" s="1">
        <v>3</v>
      </c>
      <c r="BG114" s="1">
        <v>4</v>
      </c>
      <c r="BH114" s="1">
        <v>4</v>
      </c>
      <c r="BI114" s="1">
        <v>3</v>
      </c>
      <c r="BJ114" s="1">
        <v>4</v>
      </c>
      <c r="BK114" s="1" t="s">
        <v>665</v>
      </c>
      <c r="BL114" s="1">
        <v>3</v>
      </c>
    </row>
    <row r="115" spans="1:64" x14ac:dyDescent="0.35">
      <c r="A115" t="s">
        <v>200</v>
      </c>
      <c r="B115" t="s">
        <v>683</v>
      </c>
      <c r="C115" t="s">
        <v>201</v>
      </c>
      <c r="D115" t="s">
        <v>500</v>
      </c>
      <c r="E115" t="s">
        <v>797</v>
      </c>
      <c r="F115" t="s">
        <v>501</v>
      </c>
      <c r="G115" t="s">
        <v>500</v>
      </c>
      <c r="H115" s="1">
        <v>57262.5</v>
      </c>
      <c r="I115" s="1">
        <v>1578</v>
      </c>
      <c r="J115" s="1">
        <v>50820</v>
      </c>
      <c r="K115" s="1">
        <v>15270</v>
      </c>
      <c r="L115" s="1">
        <v>21567.471014710271</v>
      </c>
      <c r="M115" s="1">
        <v>37410.800000000003</v>
      </c>
      <c r="N115" s="1">
        <v>20852</v>
      </c>
      <c r="O115" s="1">
        <v>74768.024303365091</v>
      </c>
      <c r="P115" s="1">
        <v>6504</v>
      </c>
      <c r="Q115" s="1">
        <v>38175</v>
      </c>
      <c r="R115" s="1">
        <v>62407.826086956527</v>
      </c>
      <c r="S115" s="1">
        <v>28480.199999999997</v>
      </c>
      <c r="T115" s="1">
        <v>32020</v>
      </c>
      <c r="U115" s="1">
        <v>76350</v>
      </c>
      <c r="V115" s="3">
        <f>_xlfn.XLOOKUP(Table2[[#This Row],[admin3Pcode]],'Inter-sector dataset'!F:F,'Inter-sector dataset'!Q:Q)</f>
        <v>0</v>
      </c>
      <c r="W115" s="3">
        <f>_xlfn.XLOOKUP(Table2[[#This Row],[admin3Pcode]],'Inter-sector dataset'!F:F,'Inter-sector dataset'!R:R)</f>
        <v>0</v>
      </c>
      <c r="X115" s="1">
        <f>IFERROR(Table2[[#This Row],[Health_PIN]]*$V115,)</f>
        <v>0</v>
      </c>
      <c r="Y115" s="1">
        <f>IFERROR(Table2[[#This Row],[CCCM_PIN]]*$V115,)</f>
        <v>0</v>
      </c>
      <c r="Z115" s="1">
        <f>IFERROR(Table2[[#This Row],[ERL_PIN]]*$V115,)</f>
        <v>0</v>
      </c>
      <c r="AA115" s="1">
        <f>IFERROR(Table2[[#This Row],[NFI_PIN]]*$V115,)</f>
        <v>0</v>
      </c>
      <c r="AB115" s="1">
        <f>IFERROR(Table2[[#This Row],[Nutrition_PIN]]*$V115,)</f>
        <v>0</v>
      </c>
      <c r="AC115" s="1">
        <f>IFERROR(Table2[[#This Row],[Education_PIN]]*$V115,)</f>
        <v>0</v>
      </c>
      <c r="AD115" s="1">
        <f>IFERROR(Table2[[#This Row],[Shelter_PIN]]*$V115,)</f>
        <v>0</v>
      </c>
      <c r="AE115" s="1">
        <f>IFERROR(Table2[[#This Row],[WASH_PIN]]*$V115,)</f>
        <v>0</v>
      </c>
      <c r="AF115" s="1">
        <f>IFERROR(Table2[[#This Row],[WASH_acute_PIN]]*$V115,)</f>
        <v>0</v>
      </c>
      <c r="AG115" s="1">
        <f>IFERROR(Table2[[#This Row],[Protection_PIN]]*$V115,)</f>
        <v>0</v>
      </c>
      <c r="AH115" s="1">
        <f>IFERROR(Table2[[#This Row],[Food_PIN]]*$V115,)</f>
        <v>0</v>
      </c>
      <c r="AI115" s="1">
        <f>IFERROR(Table2[[#This Row],[Protection_CP_PIN]]*$V115,)</f>
        <v>0</v>
      </c>
      <c r="AJ115" s="1">
        <f>IFERROR(Table2[[#This Row],[Protection_GBV_PIN]]*$V115,)</f>
        <v>0</v>
      </c>
      <c r="AK115" s="1">
        <f>IFERROR(Table2[[#This Row],[Protection_MA_PIN]]*$V115,)</f>
        <v>0</v>
      </c>
      <c r="AL115" s="1">
        <f>IFERROR(Table2[[#This Row],[Health_PIN]]*$W115,)</f>
        <v>0</v>
      </c>
      <c r="AM115" s="1">
        <f>IFERROR(Table2[[#This Row],[CCCM_PIN]]*$W115,)</f>
        <v>0</v>
      </c>
      <c r="AN115" s="1">
        <f>IFERROR(Table2[[#This Row],[ERL_PIN]]*$W115,)</f>
        <v>0</v>
      </c>
      <c r="AO115" s="1">
        <f>IFERROR(Table2[[#This Row],[NFI_PIN]]*$W115,)</f>
        <v>0</v>
      </c>
      <c r="AP115" s="1">
        <f>IFERROR(Table2[[#This Row],[Nutrition_PIN]]*$W115,)</f>
        <v>0</v>
      </c>
      <c r="AQ115" s="1">
        <f>IFERROR(Table2[[#This Row],[Education_PIN]]*$W115,)</f>
        <v>0</v>
      </c>
      <c r="AR115" s="1">
        <f>IFERROR(Table2[[#This Row],[Shelter_PIN]]*$W115,)</f>
        <v>0</v>
      </c>
      <c r="AS115" s="1">
        <f>IFERROR(Table2[[#This Row],[WASH_PIN]]*$W115,)</f>
        <v>0</v>
      </c>
      <c r="AT115" s="1">
        <f>IFERROR(Table2[[#This Row],[WASH_acute_PIN]]*$W115,)</f>
        <v>0</v>
      </c>
      <c r="AU115" s="1">
        <f>IFERROR(Table2[[#This Row],[Protection_PIN]]*$W115,)</f>
        <v>0</v>
      </c>
      <c r="AV115" s="1">
        <f>IFERROR(Table2[[#This Row],[Food_PIN]]*$W115,)</f>
        <v>0</v>
      </c>
      <c r="AW115" s="1">
        <f>IFERROR(Table2[[#This Row],[Protection_CP_PIN]]*$W115,)</f>
        <v>0</v>
      </c>
      <c r="AX115" s="1">
        <f>IFERROR(Table2[[#This Row],[Protection_GBV_PIN]]*$W115,)</f>
        <v>0</v>
      </c>
      <c r="AY115" s="1">
        <f>IFERROR(Table2[[#This Row],[Protection_MA_PIN]]*$W115,)</f>
        <v>0</v>
      </c>
      <c r="AZ115" s="1">
        <v>3</v>
      </c>
      <c r="BA115" s="1">
        <v>3</v>
      </c>
      <c r="BB115" s="1">
        <v>4</v>
      </c>
      <c r="BC115" s="1">
        <v>2</v>
      </c>
      <c r="BD115" s="1">
        <v>3</v>
      </c>
      <c r="BE115" s="1">
        <v>4</v>
      </c>
      <c r="BF115" s="1">
        <v>3</v>
      </c>
      <c r="BG115" s="1">
        <v>4</v>
      </c>
      <c r="BH115" s="1">
        <v>4</v>
      </c>
      <c r="BI115" s="1">
        <v>3</v>
      </c>
      <c r="BJ115" s="1">
        <v>4</v>
      </c>
      <c r="BK115" s="1">
        <v>4</v>
      </c>
      <c r="BL115" s="1">
        <v>3</v>
      </c>
    </row>
    <row r="116" spans="1:64" x14ac:dyDescent="0.35">
      <c r="A116" t="s">
        <v>157</v>
      </c>
      <c r="B116" t="s">
        <v>748</v>
      </c>
      <c r="C116" t="s">
        <v>158</v>
      </c>
      <c r="D116" t="s">
        <v>159</v>
      </c>
      <c r="E116" t="s">
        <v>798</v>
      </c>
      <c r="F116" t="s">
        <v>433</v>
      </c>
      <c r="G116" t="s">
        <v>159</v>
      </c>
      <c r="H116" s="1">
        <v>63931.5</v>
      </c>
      <c r="I116" s="1" t="s">
        <v>665</v>
      </c>
      <c r="J116" s="1">
        <v>55243</v>
      </c>
      <c r="K116" s="1">
        <v>0</v>
      </c>
      <c r="L116" s="1">
        <v>34672.391813275797</v>
      </c>
      <c r="M116" s="1">
        <v>9799.1760057522424</v>
      </c>
      <c r="N116" s="1">
        <v>17048</v>
      </c>
      <c r="O116" s="1">
        <v>40371.957905228759</v>
      </c>
      <c r="P116" s="1">
        <v>15558</v>
      </c>
      <c r="Q116" s="1">
        <v>42621</v>
      </c>
      <c r="R116" s="1">
        <v>74377.823529411762</v>
      </c>
      <c r="S116" s="1">
        <v>30087.599999999999</v>
      </c>
      <c r="T116" s="1">
        <v>23521</v>
      </c>
      <c r="U116" s="1">
        <v>76862</v>
      </c>
      <c r="V116" s="3">
        <f>_xlfn.XLOOKUP(Table2[[#This Row],[admin3Pcode]],'Inter-sector dataset'!F:F,'Inter-sector dataset'!Q:Q)</f>
        <v>0</v>
      </c>
      <c r="W116" s="3">
        <f>_xlfn.XLOOKUP(Table2[[#This Row],[admin3Pcode]],'Inter-sector dataset'!F:F,'Inter-sector dataset'!R:R)</f>
        <v>0</v>
      </c>
      <c r="X116" s="1">
        <f>IFERROR(Table2[[#This Row],[Health_PIN]]*$V116,)</f>
        <v>0</v>
      </c>
      <c r="Y116" s="1">
        <f>IFERROR(Table2[[#This Row],[CCCM_PIN]]*$V116,)</f>
        <v>0</v>
      </c>
      <c r="Z116" s="1">
        <f>IFERROR(Table2[[#This Row],[ERL_PIN]]*$V116,)</f>
        <v>0</v>
      </c>
      <c r="AA116" s="1">
        <f>IFERROR(Table2[[#This Row],[NFI_PIN]]*$V116,)</f>
        <v>0</v>
      </c>
      <c r="AB116" s="1">
        <f>IFERROR(Table2[[#This Row],[Nutrition_PIN]]*$V116,)</f>
        <v>0</v>
      </c>
      <c r="AC116" s="1">
        <f>IFERROR(Table2[[#This Row],[Education_PIN]]*$V116,)</f>
        <v>0</v>
      </c>
      <c r="AD116" s="1">
        <f>IFERROR(Table2[[#This Row],[Shelter_PIN]]*$V116,)</f>
        <v>0</v>
      </c>
      <c r="AE116" s="1">
        <f>IFERROR(Table2[[#This Row],[WASH_PIN]]*$V116,)</f>
        <v>0</v>
      </c>
      <c r="AF116" s="1">
        <f>IFERROR(Table2[[#This Row],[WASH_acute_PIN]]*$V116,)</f>
        <v>0</v>
      </c>
      <c r="AG116" s="1">
        <f>IFERROR(Table2[[#This Row],[Protection_PIN]]*$V116,)</f>
        <v>0</v>
      </c>
      <c r="AH116" s="1">
        <f>IFERROR(Table2[[#This Row],[Food_PIN]]*$V116,)</f>
        <v>0</v>
      </c>
      <c r="AI116" s="1">
        <f>IFERROR(Table2[[#This Row],[Protection_CP_PIN]]*$V116,)</f>
        <v>0</v>
      </c>
      <c r="AJ116" s="1">
        <f>IFERROR(Table2[[#This Row],[Protection_GBV_PIN]]*$V116,)</f>
        <v>0</v>
      </c>
      <c r="AK116" s="1">
        <f>IFERROR(Table2[[#This Row],[Protection_MA_PIN]]*$V116,)</f>
        <v>0</v>
      </c>
      <c r="AL116" s="1">
        <f>IFERROR(Table2[[#This Row],[Health_PIN]]*$W116,)</f>
        <v>0</v>
      </c>
      <c r="AM116" s="1">
        <f>IFERROR(Table2[[#This Row],[CCCM_PIN]]*$W116,)</f>
        <v>0</v>
      </c>
      <c r="AN116" s="1">
        <f>IFERROR(Table2[[#This Row],[ERL_PIN]]*$W116,)</f>
        <v>0</v>
      </c>
      <c r="AO116" s="1">
        <f>IFERROR(Table2[[#This Row],[NFI_PIN]]*$W116,)</f>
        <v>0</v>
      </c>
      <c r="AP116" s="1">
        <f>IFERROR(Table2[[#This Row],[Nutrition_PIN]]*$W116,)</f>
        <v>0</v>
      </c>
      <c r="AQ116" s="1">
        <f>IFERROR(Table2[[#This Row],[Education_PIN]]*$W116,)</f>
        <v>0</v>
      </c>
      <c r="AR116" s="1">
        <f>IFERROR(Table2[[#This Row],[Shelter_PIN]]*$W116,)</f>
        <v>0</v>
      </c>
      <c r="AS116" s="1">
        <f>IFERROR(Table2[[#This Row],[WASH_PIN]]*$W116,)</f>
        <v>0</v>
      </c>
      <c r="AT116" s="1">
        <f>IFERROR(Table2[[#This Row],[WASH_acute_PIN]]*$W116,)</f>
        <v>0</v>
      </c>
      <c r="AU116" s="1">
        <f>IFERROR(Table2[[#This Row],[Protection_PIN]]*$W116,)</f>
        <v>0</v>
      </c>
      <c r="AV116" s="1">
        <f>IFERROR(Table2[[#This Row],[Food_PIN]]*$W116,)</f>
        <v>0</v>
      </c>
      <c r="AW116" s="1">
        <f>IFERROR(Table2[[#This Row],[Protection_CP_PIN]]*$W116,)</f>
        <v>0</v>
      </c>
      <c r="AX116" s="1">
        <f>IFERROR(Table2[[#This Row],[Protection_GBV_PIN]]*$W116,)</f>
        <v>0</v>
      </c>
      <c r="AY116" s="1">
        <f>IFERROR(Table2[[#This Row],[Protection_MA_PIN]]*$W116,)</f>
        <v>0</v>
      </c>
      <c r="AZ116" s="1">
        <v>2</v>
      </c>
      <c r="BA116" s="1">
        <v>4</v>
      </c>
      <c r="BB116" s="1">
        <v>4</v>
      </c>
      <c r="BC116" s="1">
        <v>1</v>
      </c>
      <c r="BD116" s="1">
        <v>3</v>
      </c>
      <c r="BE116" s="1">
        <v>4</v>
      </c>
      <c r="BF116" s="1">
        <v>3</v>
      </c>
      <c r="BG116" s="1">
        <v>4</v>
      </c>
      <c r="BH116" s="1">
        <v>3</v>
      </c>
      <c r="BI116" s="1">
        <v>3</v>
      </c>
      <c r="BJ116" s="1">
        <v>4</v>
      </c>
      <c r="BK116" s="1" t="s">
        <v>665</v>
      </c>
      <c r="BL116" s="1">
        <v>3</v>
      </c>
    </row>
    <row r="117" spans="1:64" x14ac:dyDescent="0.35">
      <c r="A117" t="s">
        <v>184</v>
      </c>
      <c r="B117" t="s">
        <v>730</v>
      </c>
      <c r="C117" t="s">
        <v>185</v>
      </c>
      <c r="D117" t="s">
        <v>316</v>
      </c>
      <c r="E117" t="s">
        <v>799</v>
      </c>
      <c r="F117" t="s">
        <v>429</v>
      </c>
      <c r="G117" t="s">
        <v>316</v>
      </c>
      <c r="H117" s="1">
        <v>64509</v>
      </c>
      <c r="I117" s="1">
        <v>8784</v>
      </c>
      <c r="J117" s="1">
        <v>70772</v>
      </c>
      <c r="K117" s="1">
        <v>17907</v>
      </c>
      <c r="L117" s="1">
        <v>24310.00281782708</v>
      </c>
      <c r="M117" s="1">
        <v>43333.866666666669</v>
      </c>
      <c r="N117" s="1">
        <v>17907</v>
      </c>
      <c r="O117" s="1">
        <v>86012</v>
      </c>
      <c r="P117" s="1">
        <v>86012</v>
      </c>
      <c r="Q117" s="1">
        <v>43006</v>
      </c>
      <c r="R117" s="1">
        <v>39874.596491228069</v>
      </c>
      <c r="S117" s="1">
        <v>25596.6</v>
      </c>
      <c r="T117" s="1">
        <v>37741</v>
      </c>
      <c r="U117" s="1">
        <v>34085</v>
      </c>
      <c r="V117" s="3">
        <f>_xlfn.XLOOKUP(Table2[[#This Row],[admin3Pcode]],'Inter-sector dataset'!F:F,'Inter-sector dataset'!Q:Q)</f>
        <v>0</v>
      </c>
      <c r="W117" s="3">
        <f>_xlfn.XLOOKUP(Table2[[#This Row],[admin3Pcode]],'Inter-sector dataset'!F:F,'Inter-sector dataset'!R:R)</f>
        <v>0</v>
      </c>
      <c r="X117" s="1">
        <f>IFERROR(Table2[[#This Row],[Health_PIN]]*$V117,)</f>
        <v>0</v>
      </c>
      <c r="Y117" s="1">
        <f>IFERROR(Table2[[#This Row],[CCCM_PIN]]*$V117,)</f>
        <v>0</v>
      </c>
      <c r="Z117" s="1">
        <f>IFERROR(Table2[[#This Row],[ERL_PIN]]*$V117,)</f>
        <v>0</v>
      </c>
      <c r="AA117" s="1">
        <f>IFERROR(Table2[[#This Row],[NFI_PIN]]*$V117,)</f>
        <v>0</v>
      </c>
      <c r="AB117" s="1">
        <f>IFERROR(Table2[[#This Row],[Nutrition_PIN]]*$V117,)</f>
        <v>0</v>
      </c>
      <c r="AC117" s="1">
        <f>IFERROR(Table2[[#This Row],[Education_PIN]]*$V117,)</f>
        <v>0</v>
      </c>
      <c r="AD117" s="1">
        <f>IFERROR(Table2[[#This Row],[Shelter_PIN]]*$V117,)</f>
        <v>0</v>
      </c>
      <c r="AE117" s="1">
        <f>IFERROR(Table2[[#This Row],[WASH_PIN]]*$V117,)</f>
        <v>0</v>
      </c>
      <c r="AF117" s="1">
        <f>IFERROR(Table2[[#This Row],[WASH_acute_PIN]]*$V117,)</f>
        <v>0</v>
      </c>
      <c r="AG117" s="1">
        <f>IFERROR(Table2[[#This Row],[Protection_PIN]]*$V117,)</f>
        <v>0</v>
      </c>
      <c r="AH117" s="1">
        <f>IFERROR(Table2[[#This Row],[Food_PIN]]*$V117,)</f>
        <v>0</v>
      </c>
      <c r="AI117" s="1">
        <f>IFERROR(Table2[[#This Row],[Protection_CP_PIN]]*$V117,)</f>
        <v>0</v>
      </c>
      <c r="AJ117" s="1">
        <f>IFERROR(Table2[[#This Row],[Protection_GBV_PIN]]*$V117,)</f>
        <v>0</v>
      </c>
      <c r="AK117" s="1">
        <f>IFERROR(Table2[[#This Row],[Protection_MA_PIN]]*$V117,)</f>
        <v>0</v>
      </c>
      <c r="AL117" s="1">
        <f>IFERROR(Table2[[#This Row],[Health_PIN]]*$W117,)</f>
        <v>0</v>
      </c>
      <c r="AM117" s="1">
        <f>IFERROR(Table2[[#This Row],[CCCM_PIN]]*$W117,)</f>
        <v>0</v>
      </c>
      <c r="AN117" s="1">
        <f>IFERROR(Table2[[#This Row],[ERL_PIN]]*$W117,)</f>
        <v>0</v>
      </c>
      <c r="AO117" s="1">
        <f>IFERROR(Table2[[#This Row],[NFI_PIN]]*$W117,)</f>
        <v>0</v>
      </c>
      <c r="AP117" s="1">
        <f>IFERROR(Table2[[#This Row],[Nutrition_PIN]]*$W117,)</f>
        <v>0</v>
      </c>
      <c r="AQ117" s="1">
        <f>IFERROR(Table2[[#This Row],[Education_PIN]]*$W117,)</f>
        <v>0</v>
      </c>
      <c r="AR117" s="1">
        <f>IFERROR(Table2[[#This Row],[Shelter_PIN]]*$W117,)</f>
        <v>0</v>
      </c>
      <c r="AS117" s="1">
        <f>IFERROR(Table2[[#This Row],[WASH_PIN]]*$W117,)</f>
        <v>0</v>
      </c>
      <c r="AT117" s="1">
        <f>IFERROR(Table2[[#This Row],[WASH_acute_PIN]]*$W117,)</f>
        <v>0</v>
      </c>
      <c r="AU117" s="1">
        <f>IFERROR(Table2[[#This Row],[Protection_PIN]]*$W117,)</f>
        <v>0</v>
      </c>
      <c r="AV117" s="1">
        <f>IFERROR(Table2[[#This Row],[Food_PIN]]*$W117,)</f>
        <v>0</v>
      </c>
      <c r="AW117" s="1">
        <f>IFERROR(Table2[[#This Row],[Protection_CP_PIN]]*$W117,)</f>
        <v>0</v>
      </c>
      <c r="AX117" s="1">
        <f>IFERROR(Table2[[#This Row],[Protection_GBV_PIN]]*$W117,)</f>
        <v>0</v>
      </c>
      <c r="AY117" s="1">
        <f>IFERROR(Table2[[#This Row],[Protection_MA_PIN]]*$W117,)</f>
        <v>0</v>
      </c>
      <c r="AZ117" s="1">
        <v>3</v>
      </c>
      <c r="BA117" s="1">
        <v>3</v>
      </c>
      <c r="BB117" s="1">
        <v>4</v>
      </c>
      <c r="BC117" s="1">
        <v>3</v>
      </c>
      <c r="BD117" s="1">
        <v>3</v>
      </c>
      <c r="BE117" s="1">
        <v>4</v>
      </c>
      <c r="BF117" s="1">
        <v>3</v>
      </c>
      <c r="BG117" s="1">
        <v>4</v>
      </c>
      <c r="BH117" s="1">
        <v>4</v>
      </c>
      <c r="BI117" s="1">
        <v>3</v>
      </c>
      <c r="BJ117" s="1">
        <v>4</v>
      </c>
      <c r="BK117" s="1">
        <v>3</v>
      </c>
      <c r="BL117" s="1">
        <v>4</v>
      </c>
    </row>
    <row r="118" spans="1:64" x14ac:dyDescent="0.35">
      <c r="A118" t="s">
        <v>54</v>
      </c>
      <c r="B118" t="s">
        <v>709</v>
      </c>
      <c r="C118" t="s">
        <v>55</v>
      </c>
      <c r="D118" t="s">
        <v>383</v>
      </c>
      <c r="E118" t="s">
        <v>800</v>
      </c>
      <c r="F118" t="s">
        <v>385</v>
      </c>
      <c r="G118" t="s">
        <v>383</v>
      </c>
      <c r="H118" s="1">
        <v>88547</v>
      </c>
      <c r="I118" s="1">
        <v>40547</v>
      </c>
      <c r="J118" s="1">
        <v>53974</v>
      </c>
      <c r="K118" s="1">
        <v>25098</v>
      </c>
      <c r="L118" s="1">
        <v>35047.393725258793</v>
      </c>
      <c r="M118" s="1">
        <v>40336.683333333334</v>
      </c>
      <c r="N118" s="1">
        <v>25098</v>
      </c>
      <c r="O118" s="1">
        <v>87139.118485542611</v>
      </c>
      <c r="P118" s="1">
        <v>52404</v>
      </c>
      <c r="Q118" s="1">
        <v>44274</v>
      </c>
      <c r="R118" s="1">
        <v>64958.827586206899</v>
      </c>
      <c r="S118" s="1">
        <v>13182.2</v>
      </c>
      <c r="T118" s="1">
        <v>36988</v>
      </c>
      <c r="U118" s="1">
        <v>88547</v>
      </c>
      <c r="V118" s="3">
        <f>_xlfn.XLOOKUP(Table2[[#This Row],[admin3Pcode]],'Inter-sector dataset'!F:F,'Inter-sector dataset'!Q:Q)</f>
        <v>0.96</v>
      </c>
      <c r="W118" s="3">
        <f>_xlfn.XLOOKUP(Table2[[#This Row],[admin3Pcode]],'Inter-sector dataset'!F:F,'Inter-sector dataset'!R:R)</f>
        <v>0</v>
      </c>
      <c r="X118" s="1">
        <f>IFERROR(Table2[[#This Row],[Health_PIN]]*$V118,)</f>
        <v>85005.119999999995</v>
      </c>
      <c r="Y118" s="1">
        <f>IFERROR(Table2[[#This Row],[CCCM_PIN]]*$V118,)</f>
        <v>38925.119999999995</v>
      </c>
      <c r="Z118" s="1">
        <f>IFERROR(Table2[[#This Row],[ERL_PIN]]*$V118,)</f>
        <v>51815.040000000001</v>
      </c>
      <c r="AA118" s="1">
        <f>IFERROR(Table2[[#This Row],[NFI_PIN]]*$V118,)</f>
        <v>24094.079999999998</v>
      </c>
      <c r="AB118" s="1">
        <f>IFERROR(Table2[[#This Row],[Nutrition_PIN]]*$V118,)</f>
        <v>33645.497976248444</v>
      </c>
      <c r="AC118" s="1">
        <f>IFERROR(Table2[[#This Row],[Education_PIN]]*$V118,)</f>
        <v>38723.216</v>
      </c>
      <c r="AD118" s="1">
        <f>IFERROR(Table2[[#This Row],[Shelter_PIN]]*$V118,)</f>
        <v>24094.079999999998</v>
      </c>
      <c r="AE118" s="1">
        <f>IFERROR(Table2[[#This Row],[WASH_PIN]]*$V118,)</f>
        <v>83653.553746120902</v>
      </c>
      <c r="AF118" s="1">
        <f>IFERROR(Table2[[#This Row],[WASH_acute_PIN]]*$V118,)</f>
        <v>50307.839999999997</v>
      </c>
      <c r="AG118" s="1">
        <f>IFERROR(Table2[[#This Row],[Protection_PIN]]*$V118,)</f>
        <v>42503.040000000001</v>
      </c>
      <c r="AH118" s="1">
        <f>IFERROR(Table2[[#This Row],[Food_PIN]]*$V118,)</f>
        <v>62360.474482758618</v>
      </c>
      <c r="AI118" s="1">
        <f>IFERROR(Table2[[#This Row],[Protection_CP_PIN]]*$V118,)</f>
        <v>12654.912</v>
      </c>
      <c r="AJ118" s="1">
        <f>IFERROR(Table2[[#This Row],[Protection_GBV_PIN]]*$V118,)</f>
        <v>35508.479999999996</v>
      </c>
      <c r="AK118" s="1">
        <f>IFERROR(Table2[[#This Row],[Protection_MA_PIN]]*$V118,)</f>
        <v>85005.119999999995</v>
      </c>
      <c r="AL118" s="1">
        <f>IFERROR(Table2[[#This Row],[Health_PIN]]*$W118,)</f>
        <v>0</v>
      </c>
      <c r="AM118" s="1">
        <f>IFERROR(Table2[[#This Row],[CCCM_PIN]]*$W118,)</f>
        <v>0</v>
      </c>
      <c r="AN118" s="1">
        <f>IFERROR(Table2[[#This Row],[ERL_PIN]]*$W118,)</f>
        <v>0</v>
      </c>
      <c r="AO118" s="1">
        <f>IFERROR(Table2[[#This Row],[NFI_PIN]]*$W118,)</f>
        <v>0</v>
      </c>
      <c r="AP118" s="1">
        <f>IFERROR(Table2[[#This Row],[Nutrition_PIN]]*$W118,)</f>
        <v>0</v>
      </c>
      <c r="AQ118" s="1">
        <f>IFERROR(Table2[[#This Row],[Education_PIN]]*$W118,)</f>
        <v>0</v>
      </c>
      <c r="AR118" s="1">
        <f>IFERROR(Table2[[#This Row],[Shelter_PIN]]*$W118,)</f>
        <v>0</v>
      </c>
      <c r="AS118" s="1">
        <f>IFERROR(Table2[[#This Row],[WASH_PIN]]*$W118,)</f>
        <v>0</v>
      </c>
      <c r="AT118" s="1">
        <f>IFERROR(Table2[[#This Row],[WASH_acute_PIN]]*$W118,)</f>
        <v>0</v>
      </c>
      <c r="AU118" s="1">
        <f>IFERROR(Table2[[#This Row],[Protection_PIN]]*$W118,)</f>
        <v>0</v>
      </c>
      <c r="AV118" s="1">
        <f>IFERROR(Table2[[#This Row],[Food_PIN]]*$W118,)</f>
        <v>0</v>
      </c>
      <c r="AW118" s="1">
        <f>IFERROR(Table2[[#This Row],[Protection_CP_PIN]]*$W118,)</f>
        <v>0</v>
      </c>
      <c r="AX118" s="1">
        <f>IFERROR(Table2[[#This Row],[Protection_GBV_PIN]]*$W118,)</f>
        <v>0</v>
      </c>
      <c r="AY118" s="1">
        <f>IFERROR(Table2[[#This Row],[Protection_MA_PIN]]*$W118,)</f>
        <v>0</v>
      </c>
      <c r="AZ118" s="1">
        <v>3</v>
      </c>
      <c r="BA118" s="1">
        <v>5</v>
      </c>
      <c r="BB118" s="1">
        <v>5</v>
      </c>
      <c r="BC118" s="1">
        <v>3</v>
      </c>
      <c r="BD118" s="1">
        <v>3</v>
      </c>
      <c r="BE118" s="1">
        <v>5</v>
      </c>
      <c r="BF118" s="1">
        <v>3</v>
      </c>
      <c r="BG118" s="1">
        <v>2</v>
      </c>
      <c r="BH118" s="1">
        <v>4</v>
      </c>
      <c r="BI118" s="1">
        <v>3</v>
      </c>
      <c r="BJ118" s="1">
        <v>4</v>
      </c>
      <c r="BK118" s="1">
        <v>5</v>
      </c>
      <c r="BL118" s="1">
        <v>4</v>
      </c>
    </row>
    <row r="119" spans="1:64" x14ac:dyDescent="0.35">
      <c r="A119" t="s">
        <v>104</v>
      </c>
      <c r="B119" t="s">
        <v>677</v>
      </c>
      <c r="C119" t="s">
        <v>105</v>
      </c>
      <c r="D119" t="s">
        <v>175</v>
      </c>
      <c r="E119" t="s">
        <v>801</v>
      </c>
      <c r="F119" t="s">
        <v>176</v>
      </c>
      <c r="G119" t="s">
        <v>175</v>
      </c>
      <c r="H119" s="1">
        <v>44881</v>
      </c>
      <c r="I119" s="1" t="s">
        <v>665</v>
      </c>
      <c r="J119" s="1">
        <v>58491</v>
      </c>
      <c r="K119" s="1">
        <v>22953</v>
      </c>
      <c r="L119" s="1">
        <v>18515.873915306329</v>
      </c>
      <c r="M119" s="1">
        <v>11446.430647882222</v>
      </c>
      <c r="N119" s="1">
        <v>26929</v>
      </c>
      <c r="O119" s="1">
        <v>5753.1936159138013</v>
      </c>
      <c r="P119" s="1">
        <v>959</v>
      </c>
      <c r="Q119" s="1">
        <v>44881</v>
      </c>
      <c r="R119" s="1">
        <v>72625.618181818179</v>
      </c>
      <c r="S119" s="1">
        <v>22613.1</v>
      </c>
      <c r="T119" s="1">
        <v>38080</v>
      </c>
      <c r="U119" s="1">
        <v>89762</v>
      </c>
      <c r="V119" s="3">
        <f>_xlfn.XLOOKUP(Table2[[#This Row],[admin3Pcode]],'Inter-sector dataset'!F:F,'Inter-sector dataset'!Q:Q)</f>
        <v>0</v>
      </c>
      <c r="W119" s="3">
        <f>_xlfn.XLOOKUP(Table2[[#This Row],[admin3Pcode]],'Inter-sector dataset'!F:F,'Inter-sector dataset'!R:R)</f>
        <v>0</v>
      </c>
      <c r="X119" s="1">
        <f>IFERROR(Table2[[#This Row],[Health_PIN]]*$V119,)</f>
        <v>0</v>
      </c>
      <c r="Y119" s="1">
        <f>IFERROR(Table2[[#This Row],[CCCM_PIN]]*$V119,)</f>
        <v>0</v>
      </c>
      <c r="Z119" s="1">
        <f>IFERROR(Table2[[#This Row],[ERL_PIN]]*$V119,)</f>
        <v>0</v>
      </c>
      <c r="AA119" s="1">
        <f>IFERROR(Table2[[#This Row],[NFI_PIN]]*$V119,)</f>
        <v>0</v>
      </c>
      <c r="AB119" s="1">
        <f>IFERROR(Table2[[#This Row],[Nutrition_PIN]]*$V119,)</f>
        <v>0</v>
      </c>
      <c r="AC119" s="1">
        <f>IFERROR(Table2[[#This Row],[Education_PIN]]*$V119,)</f>
        <v>0</v>
      </c>
      <c r="AD119" s="1">
        <f>IFERROR(Table2[[#This Row],[Shelter_PIN]]*$V119,)</f>
        <v>0</v>
      </c>
      <c r="AE119" s="1">
        <f>IFERROR(Table2[[#This Row],[WASH_PIN]]*$V119,)</f>
        <v>0</v>
      </c>
      <c r="AF119" s="1">
        <f>IFERROR(Table2[[#This Row],[WASH_acute_PIN]]*$V119,)</f>
        <v>0</v>
      </c>
      <c r="AG119" s="1">
        <f>IFERROR(Table2[[#This Row],[Protection_PIN]]*$V119,)</f>
        <v>0</v>
      </c>
      <c r="AH119" s="1">
        <f>IFERROR(Table2[[#This Row],[Food_PIN]]*$V119,)</f>
        <v>0</v>
      </c>
      <c r="AI119" s="1">
        <f>IFERROR(Table2[[#This Row],[Protection_CP_PIN]]*$V119,)</f>
        <v>0</v>
      </c>
      <c r="AJ119" s="1">
        <f>IFERROR(Table2[[#This Row],[Protection_GBV_PIN]]*$V119,)</f>
        <v>0</v>
      </c>
      <c r="AK119" s="1">
        <f>IFERROR(Table2[[#This Row],[Protection_MA_PIN]]*$V119,)</f>
        <v>0</v>
      </c>
      <c r="AL119" s="1">
        <f>IFERROR(Table2[[#This Row],[Health_PIN]]*$W119,)</f>
        <v>0</v>
      </c>
      <c r="AM119" s="1">
        <f>IFERROR(Table2[[#This Row],[CCCM_PIN]]*$W119,)</f>
        <v>0</v>
      </c>
      <c r="AN119" s="1">
        <f>IFERROR(Table2[[#This Row],[ERL_PIN]]*$W119,)</f>
        <v>0</v>
      </c>
      <c r="AO119" s="1">
        <f>IFERROR(Table2[[#This Row],[NFI_PIN]]*$W119,)</f>
        <v>0</v>
      </c>
      <c r="AP119" s="1">
        <f>IFERROR(Table2[[#This Row],[Nutrition_PIN]]*$W119,)</f>
        <v>0</v>
      </c>
      <c r="AQ119" s="1">
        <f>IFERROR(Table2[[#This Row],[Education_PIN]]*$W119,)</f>
        <v>0</v>
      </c>
      <c r="AR119" s="1">
        <f>IFERROR(Table2[[#This Row],[Shelter_PIN]]*$W119,)</f>
        <v>0</v>
      </c>
      <c r="AS119" s="1">
        <f>IFERROR(Table2[[#This Row],[WASH_PIN]]*$W119,)</f>
        <v>0</v>
      </c>
      <c r="AT119" s="1">
        <f>IFERROR(Table2[[#This Row],[WASH_acute_PIN]]*$W119,)</f>
        <v>0</v>
      </c>
      <c r="AU119" s="1">
        <f>IFERROR(Table2[[#This Row],[Protection_PIN]]*$W119,)</f>
        <v>0</v>
      </c>
      <c r="AV119" s="1">
        <f>IFERROR(Table2[[#This Row],[Food_PIN]]*$W119,)</f>
        <v>0</v>
      </c>
      <c r="AW119" s="1">
        <f>IFERROR(Table2[[#This Row],[Protection_CP_PIN]]*$W119,)</f>
        <v>0</v>
      </c>
      <c r="AX119" s="1">
        <f>IFERROR(Table2[[#This Row],[Protection_GBV_PIN]]*$W119,)</f>
        <v>0</v>
      </c>
      <c r="AY119" s="1">
        <f>IFERROR(Table2[[#This Row],[Protection_MA_PIN]]*$W119,)</f>
        <v>0</v>
      </c>
      <c r="AZ119" s="1">
        <v>3</v>
      </c>
      <c r="BA119" s="1">
        <v>3</v>
      </c>
      <c r="BB119" s="1">
        <v>4</v>
      </c>
      <c r="BC119" s="1">
        <v>3</v>
      </c>
      <c r="BD119" s="1">
        <v>3</v>
      </c>
      <c r="BE119" s="1">
        <v>3</v>
      </c>
      <c r="BF119" s="1">
        <v>3</v>
      </c>
      <c r="BG119" s="1">
        <v>4</v>
      </c>
      <c r="BH119" s="1">
        <v>4</v>
      </c>
      <c r="BI119" s="1">
        <v>3</v>
      </c>
      <c r="BJ119" s="1">
        <v>4</v>
      </c>
      <c r="BK119" s="1" t="s">
        <v>665</v>
      </c>
      <c r="BL119" s="1">
        <v>2</v>
      </c>
    </row>
    <row r="120" spans="1:64" x14ac:dyDescent="0.35">
      <c r="A120" t="s">
        <v>12</v>
      </c>
      <c r="B120" t="s">
        <v>673</v>
      </c>
      <c r="C120" t="s">
        <v>13</v>
      </c>
      <c r="D120" t="s">
        <v>42</v>
      </c>
      <c r="E120" t="s">
        <v>802</v>
      </c>
      <c r="F120" t="s">
        <v>116</v>
      </c>
      <c r="G120" t="s">
        <v>42</v>
      </c>
      <c r="H120" s="1">
        <v>46042</v>
      </c>
      <c r="I120" s="1" t="s">
        <v>665</v>
      </c>
      <c r="J120" s="1">
        <v>76727</v>
      </c>
      <c r="K120" s="1">
        <v>24060</v>
      </c>
      <c r="L120" s="1">
        <v>20875.215864343572</v>
      </c>
      <c r="M120" s="1">
        <v>34784.066666666666</v>
      </c>
      <c r="N120" s="1">
        <v>11287</v>
      </c>
      <c r="O120" s="1">
        <v>30450.934220378596</v>
      </c>
      <c r="P120" s="1">
        <v>1719</v>
      </c>
      <c r="Q120" s="1">
        <v>46042</v>
      </c>
      <c r="R120" s="1">
        <v>71813.937106918238</v>
      </c>
      <c r="S120" s="1">
        <v>19540.400000000001</v>
      </c>
      <c r="T120" s="1">
        <v>24676</v>
      </c>
      <c r="U120" s="1">
        <v>56436</v>
      </c>
      <c r="V120" s="3">
        <f>_xlfn.XLOOKUP(Table2[[#This Row],[admin3Pcode]],'Inter-sector dataset'!F:F,'Inter-sector dataset'!Q:Q)</f>
        <v>0</v>
      </c>
      <c r="W120" s="3">
        <f>_xlfn.XLOOKUP(Table2[[#This Row],[admin3Pcode]],'Inter-sector dataset'!F:F,'Inter-sector dataset'!R:R)</f>
        <v>0</v>
      </c>
      <c r="X120" s="1">
        <f>IFERROR(Table2[[#This Row],[Health_PIN]]*$V120,)</f>
        <v>0</v>
      </c>
      <c r="Y120" s="1">
        <f>IFERROR(Table2[[#This Row],[CCCM_PIN]]*$V120,)</f>
        <v>0</v>
      </c>
      <c r="Z120" s="1">
        <f>IFERROR(Table2[[#This Row],[ERL_PIN]]*$V120,)</f>
        <v>0</v>
      </c>
      <c r="AA120" s="1">
        <f>IFERROR(Table2[[#This Row],[NFI_PIN]]*$V120,)</f>
        <v>0</v>
      </c>
      <c r="AB120" s="1">
        <f>IFERROR(Table2[[#This Row],[Nutrition_PIN]]*$V120,)</f>
        <v>0</v>
      </c>
      <c r="AC120" s="1">
        <f>IFERROR(Table2[[#This Row],[Education_PIN]]*$V120,)</f>
        <v>0</v>
      </c>
      <c r="AD120" s="1">
        <f>IFERROR(Table2[[#This Row],[Shelter_PIN]]*$V120,)</f>
        <v>0</v>
      </c>
      <c r="AE120" s="1">
        <f>IFERROR(Table2[[#This Row],[WASH_PIN]]*$V120,)</f>
        <v>0</v>
      </c>
      <c r="AF120" s="1">
        <f>IFERROR(Table2[[#This Row],[WASH_acute_PIN]]*$V120,)</f>
        <v>0</v>
      </c>
      <c r="AG120" s="1">
        <f>IFERROR(Table2[[#This Row],[Protection_PIN]]*$V120,)</f>
        <v>0</v>
      </c>
      <c r="AH120" s="1">
        <f>IFERROR(Table2[[#This Row],[Food_PIN]]*$V120,)</f>
        <v>0</v>
      </c>
      <c r="AI120" s="1">
        <f>IFERROR(Table2[[#This Row],[Protection_CP_PIN]]*$V120,)</f>
        <v>0</v>
      </c>
      <c r="AJ120" s="1">
        <f>IFERROR(Table2[[#This Row],[Protection_GBV_PIN]]*$V120,)</f>
        <v>0</v>
      </c>
      <c r="AK120" s="1">
        <f>IFERROR(Table2[[#This Row],[Protection_MA_PIN]]*$V120,)</f>
        <v>0</v>
      </c>
      <c r="AL120" s="1">
        <f>IFERROR(Table2[[#This Row],[Health_PIN]]*$W120,)</f>
        <v>0</v>
      </c>
      <c r="AM120" s="1">
        <f>IFERROR(Table2[[#This Row],[CCCM_PIN]]*$W120,)</f>
        <v>0</v>
      </c>
      <c r="AN120" s="1">
        <f>IFERROR(Table2[[#This Row],[ERL_PIN]]*$W120,)</f>
        <v>0</v>
      </c>
      <c r="AO120" s="1">
        <f>IFERROR(Table2[[#This Row],[NFI_PIN]]*$W120,)</f>
        <v>0</v>
      </c>
      <c r="AP120" s="1">
        <f>IFERROR(Table2[[#This Row],[Nutrition_PIN]]*$W120,)</f>
        <v>0</v>
      </c>
      <c r="AQ120" s="1">
        <f>IFERROR(Table2[[#This Row],[Education_PIN]]*$W120,)</f>
        <v>0</v>
      </c>
      <c r="AR120" s="1">
        <f>IFERROR(Table2[[#This Row],[Shelter_PIN]]*$W120,)</f>
        <v>0</v>
      </c>
      <c r="AS120" s="1">
        <f>IFERROR(Table2[[#This Row],[WASH_PIN]]*$W120,)</f>
        <v>0</v>
      </c>
      <c r="AT120" s="1">
        <f>IFERROR(Table2[[#This Row],[WASH_acute_PIN]]*$W120,)</f>
        <v>0</v>
      </c>
      <c r="AU120" s="1">
        <f>IFERROR(Table2[[#This Row],[Protection_PIN]]*$W120,)</f>
        <v>0</v>
      </c>
      <c r="AV120" s="1">
        <f>IFERROR(Table2[[#This Row],[Food_PIN]]*$W120,)</f>
        <v>0</v>
      </c>
      <c r="AW120" s="1">
        <f>IFERROR(Table2[[#This Row],[Protection_CP_PIN]]*$W120,)</f>
        <v>0</v>
      </c>
      <c r="AX120" s="1">
        <f>IFERROR(Table2[[#This Row],[Protection_GBV_PIN]]*$W120,)</f>
        <v>0</v>
      </c>
      <c r="AY120" s="1">
        <f>IFERROR(Table2[[#This Row],[Protection_MA_PIN]]*$W120,)</f>
        <v>0</v>
      </c>
      <c r="AZ120" s="1">
        <v>2</v>
      </c>
      <c r="BA120" s="1">
        <v>4</v>
      </c>
      <c r="BB120" s="1">
        <v>4</v>
      </c>
      <c r="BC120" s="1">
        <v>3</v>
      </c>
      <c r="BD120" s="1">
        <v>3</v>
      </c>
      <c r="BE120" s="1">
        <v>3</v>
      </c>
      <c r="BF120" s="1">
        <v>3</v>
      </c>
      <c r="BG120" s="1">
        <v>3</v>
      </c>
      <c r="BH120" s="1">
        <v>3</v>
      </c>
      <c r="BI120" s="1">
        <v>3</v>
      </c>
      <c r="BJ120" s="1">
        <v>4</v>
      </c>
      <c r="BK120" s="1" t="s">
        <v>665</v>
      </c>
      <c r="BL120" s="1">
        <v>3</v>
      </c>
    </row>
    <row r="121" spans="1:64" x14ac:dyDescent="0.35">
      <c r="A121" t="s">
        <v>17</v>
      </c>
      <c r="B121" t="s">
        <v>663</v>
      </c>
      <c r="C121" t="s">
        <v>18</v>
      </c>
      <c r="D121" t="s">
        <v>139</v>
      </c>
      <c r="E121" t="s">
        <v>803</v>
      </c>
      <c r="F121" t="s">
        <v>140</v>
      </c>
      <c r="G121" t="s">
        <v>139</v>
      </c>
      <c r="H121" s="1">
        <v>47356</v>
      </c>
      <c r="I121" s="1" t="s">
        <v>665</v>
      </c>
      <c r="J121" s="1">
        <v>82086</v>
      </c>
      <c r="K121" s="1">
        <v>2484</v>
      </c>
      <c r="L121" s="1">
        <v>22529.796185358391</v>
      </c>
      <c r="M121" s="1">
        <v>34918.916666666664</v>
      </c>
      <c r="N121" s="1">
        <v>19044</v>
      </c>
      <c r="O121" s="1">
        <v>4763.6230796164864</v>
      </c>
      <c r="P121" s="1">
        <v>0</v>
      </c>
      <c r="Q121" s="1">
        <v>47356</v>
      </c>
      <c r="R121" s="1">
        <v>80361.696969696975</v>
      </c>
      <c r="S121" s="1">
        <v>16788.8</v>
      </c>
      <c r="T121" s="1">
        <v>24360</v>
      </c>
      <c r="U121" s="1">
        <v>93695</v>
      </c>
      <c r="V121" s="3">
        <f>_xlfn.XLOOKUP(Table2[[#This Row],[admin3Pcode]],'Inter-sector dataset'!F:F,'Inter-sector dataset'!Q:Q)</f>
        <v>0</v>
      </c>
      <c r="W121" s="3">
        <f>_xlfn.XLOOKUP(Table2[[#This Row],[admin3Pcode]],'Inter-sector dataset'!F:F,'Inter-sector dataset'!R:R)</f>
        <v>0</v>
      </c>
      <c r="X121" s="1">
        <f>IFERROR(Table2[[#This Row],[Health_PIN]]*$V121,)</f>
        <v>0</v>
      </c>
      <c r="Y121" s="1">
        <f>IFERROR(Table2[[#This Row],[CCCM_PIN]]*$V121,)</f>
        <v>0</v>
      </c>
      <c r="Z121" s="1">
        <f>IFERROR(Table2[[#This Row],[ERL_PIN]]*$V121,)</f>
        <v>0</v>
      </c>
      <c r="AA121" s="1">
        <f>IFERROR(Table2[[#This Row],[NFI_PIN]]*$V121,)</f>
        <v>0</v>
      </c>
      <c r="AB121" s="1">
        <f>IFERROR(Table2[[#This Row],[Nutrition_PIN]]*$V121,)</f>
        <v>0</v>
      </c>
      <c r="AC121" s="1">
        <f>IFERROR(Table2[[#This Row],[Education_PIN]]*$V121,)</f>
        <v>0</v>
      </c>
      <c r="AD121" s="1">
        <f>IFERROR(Table2[[#This Row],[Shelter_PIN]]*$V121,)</f>
        <v>0</v>
      </c>
      <c r="AE121" s="1">
        <f>IFERROR(Table2[[#This Row],[WASH_PIN]]*$V121,)</f>
        <v>0</v>
      </c>
      <c r="AF121" s="1">
        <f>IFERROR(Table2[[#This Row],[WASH_acute_PIN]]*$V121,)</f>
        <v>0</v>
      </c>
      <c r="AG121" s="1">
        <f>IFERROR(Table2[[#This Row],[Protection_PIN]]*$V121,)</f>
        <v>0</v>
      </c>
      <c r="AH121" s="1">
        <f>IFERROR(Table2[[#This Row],[Food_PIN]]*$V121,)</f>
        <v>0</v>
      </c>
      <c r="AI121" s="1">
        <f>IFERROR(Table2[[#This Row],[Protection_CP_PIN]]*$V121,)</f>
        <v>0</v>
      </c>
      <c r="AJ121" s="1">
        <f>IFERROR(Table2[[#This Row],[Protection_GBV_PIN]]*$V121,)</f>
        <v>0</v>
      </c>
      <c r="AK121" s="1">
        <f>IFERROR(Table2[[#This Row],[Protection_MA_PIN]]*$V121,)</f>
        <v>0</v>
      </c>
      <c r="AL121" s="1">
        <f>IFERROR(Table2[[#This Row],[Health_PIN]]*$W121,)</f>
        <v>0</v>
      </c>
      <c r="AM121" s="1">
        <f>IFERROR(Table2[[#This Row],[CCCM_PIN]]*$W121,)</f>
        <v>0</v>
      </c>
      <c r="AN121" s="1">
        <f>IFERROR(Table2[[#This Row],[ERL_PIN]]*$W121,)</f>
        <v>0</v>
      </c>
      <c r="AO121" s="1">
        <f>IFERROR(Table2[[#This Row],[NFI_PIN]]*$W121,)</f>
        <v>0</v>
      </c>
      <c r="AP121" s="1">
        <f>IFERROR(Table2[[#This Row],[Nutrition_PIN]]*$W121,)</f>
        <v>0</v>
      </c>
      <c r="AQ121" s="1">
        <f>IFERROR(Table2[[#This Row],[Education_PIN]]*$W121,)</f>
        <v>0</v>
      </c>
      <c r="AR121" s="1">
        <f>IFERROR(Table2[[#This Row],[Shelter_PIN]]*$W121,)</f>
        <v>0</v>
      </c>
      <c r="AS121" s="1">
        <f>IFERROR(Table2[[#This Row],[WASH_PIN]]*$W121,)</f>
        <v>0</v>
      </c>
      <c r="AT121" s="1">
        <f>IFERROR(Table2[[#This Row],[WASH_acute_PIN]]*$W121,)</f>
        <v>0</v>
      </c>
      <c r="AU121" s="1">
        <f>IFERROR(Table2[[#This Row],[Protection_PIN]]*$W121,)</f>
        <v>0</v>
      </c>
      <c r="AV121" s="1">
        <f>IFERROR(Table2[[#This Row],[Food_PIN]]*$W121,)</f>
        <v>0</v>
      </c>
      <c r="AW121" s="1">
        <f>IFERROR(Table2[[#This Row],[Protection_CP_PIN]]*$W121,)</f>
        <v>0</v>
      </c>
      <c r="AX121" s="1">
        <f>IFERROR(Table2[[#This Row],[Protection_GBV_PIN]]*$W121,)</f>
        <v>0</v>
      </c>
      <c r="AY121" s="1">
        <f>IFERROR(Table2[[#This Row],[Protection_MA_PIN]]*$W121,)</f>
        <v>0</v>
      </c>
      <c r="AZ121" s="1">
        <v>3</v>
      </c>
      <c r="BA121" s="1">
        <v>3</v>
      </c>
      <c r="BB121" s="1">
        <v>5</v>
      </c>
      <c r="BC121" s="1">
        <v>3</v>
      </c>
      <c r="BD121" s="1">
        <v>3</v>
      </c>
      <c r="BE121" s="1">
        <v>3</v>
      </c>
      <c r="BF121" s="1">
        <v>3</v>
      </c>
      <c r="BG121" s="1">
        <v>3</v>
      </c>
      <c r="BH121" s="1">
        <v>3</v>
      </c>
      <c r="BI121" s="1">
        <v>3</v>
      </c>
      <c r="BJ121" s="1">
        <v>4</v>
      </c>
      <c r="BK121" s="1" t="s">
        <v>665</v>
      </c>
      <c r="BL121" s="1">
        <v>2</v>
      </c>
    </row>
    <row r="122" spans="1:64" x14ac:dyDescent="0.35">
      <c r="A122" t="s">
        <v>6</v>
      </c>
      <c r="B122" t="s">
        <v>667</v>
      </c>
      <c r="C122" t="s">
        <v>7</v>
      </c>
      <c r="D122" t="s">
        <v>78</v>
      </c>
      <c r="E122" t="s">
        <v>804</v>
      </c>
      <c r="F122" t="s">
        <v>110</v>
      </c>
      <c r="G122" t="s">
        <v>78</v>
      </c>
      <c r="H122" s="1">
        <v>54634</v>
      </c>
      <c r="I122" s="1" t="s">
        <v>665</v>
      </c>
      <c r="J122" s="1">
        <v>90248</v>
      </c>
      <c r="K122" s="1">
        <v>13586</v>
      </c>
      <c r="L122" s="1">
        <v>22596.903727695877</v>
      </c>
      <c r="M122" s="1">
        <v>35866.999999999993</v>
      </c>
      <c r="N122" s="1">
        <v>13586</v>
      </c>
      <c r="O122" s="1">
        <v>51872.999704115478</v>
      </c>
      <c r="P122" s="1">
        <v>0</v>
      </c>
      <c r="Q122" s="1">
        <v>54634</v>
      </c>
      <c r="R122" s="1">
        <v>83606.575757575745</v>
      </c>
      <c r="S122" s="1">
        <v>15127.5</v>
      </c>
      <c r="T122" s="1">
        <v>29120</v>
      </c>
      <c r="U122" s="1">
        <v>62745</v>
      </c>
      <c r="V122" s="3">
        <f>_xlfn.XLOOKUP(Table2[[#This Row],[admin3Pcode]],'Inter-sector dataset'!F:F,'Inter-sector dataset'!Q:Q)</f>
        <v>0</v>
      </c>
      <c r="W122" s="3">
        <f>_xlfn.XLOOKUP(Table2[[#This Row],[admin3Pcode]],'Inter-sector dataset'!F:F,'Inter-sector dataset'!R:R)</f>
        <v>0</v>
      </c>
      <c r="X122" s="1">
        <f>IFERROR(Table2[[#This Row],[Health_PIN]]*$V122,)</f>
        <v>0</v>
      </c>
      <c r="Y122" s="1">
        <f>IFERROR(Table2[[#This Row],[CCCM_PIN]]*$V122,)</f>
        <v>0</v>
      </c>
      <c r="Z122" s="1">
        <f>IFERROR(Table2[[#This Row],[ERL_PIN]]*$V122,)</f>
        <v>0</v>
      </c>
      <c r="AA122" s="1">
        <f>IFERROR(Table2[[#This Row],[NFI_PIN]]*$V122,)</f>
        <v>0</v>
      </c>
      <c r="AB122" s="1">
        <f>IFERROR(Table2[[#This Row],[Nutrition_PIN]]*$V122,)</f>
        <v>0</v>
      </c>
      <c r="AC122" s="1">
        <f>IFERROR(Table2[[#This Row],[Education_PIN]]*$V122,)</f>
        <v>0</v>
      </c>
      <c r="AD122" s="1">
        <f>IFERROR(Table2[[#This Row],[Shelter_PIN]]*$V122,)</f>
        <v>0</v>
      </c>
      <c r="AE122" s="1">
        <f>IFERROR(Table2[[#This Row],[WASH_PIN]]*$V122,)</f>
        <v>0</v>
      </c>
      <c r="AF122" s="1">
        <f>IFERROR(Table2[[#This Row],[WASH_acute_PIN]]*$V122,)</f>
        <v>0</v>
      </c>
      <c r="AG122" s="1">
        <f>IFERROR(Table2[[#This Row],[Protection_PIN]]*$V122,)</f>
        <v>0</v>
      </c>
      <c r="AH122" s="1">
        <f>IFERROR(Table2[[#This Row],[Food_PIN]]*$V122,)</f>
        <v>0</v>
      </c>
      <c r="AI122" s="1">
        <f>IFERROR(Table2[[#This Row],[Protection_CP_PIN]]*$V122,)</f>
        <v>0</v>
      </c>
      <c r="AJ122" s="1">
        <f>IFERROR(Table2[[#This Row],[Protection_GBV_PIN]]*$V122,)</f>
        <v>0</v>
      </c>
      <c r="AK122" s="1">
        <f>IFERROR(Table2[[#This Row],[Protection_MA_PIN]]*$V122,)</f>
        <v>0</v>
      </c>
      <c r="AL122" s="1">
        <f>IFERROR(Table2[[#This Row],[Health_PIN]]*$W122,)</f>
        <v>0</v>
      </c>
      <c r="AM122" s="1">
        <f>IFERROR(Table2[[#This Row],[CCCM_PIN]]*$W122,)</f>
        <v>0</v>
      </c>
      <c r="AN122" s="1">
        <f>IFERROR(Table2[[#This Row],[ERL_PIN]]*$W122,)</f>
        <v>0</v>
      </c>
      <c r="AO122" s="1">
        <f>IFERROR(Table2[[#This Row],[NFI_PIN]]*$W122,)</f>
        <v>0</v>
      </c>
      <c r="AP122" s="1">
        <f>IFERROR(Table2[[#This Row],[Nutrition_PIN]]*$W122,)</f>
        <v>0</v>
      </c>
      <c r="AQ122" s="1">
        <f>IFERROR(Table2[[#This Row],[Education_PIN]]*$W122,)</f>
        <v>0</v>
      </c>
      <c r="AR122" s="1">
        <f>IFERROR(Table2[[#This Row],[Shelter_PIN]]*$W122,)</f>
        <v>0</v>
      </c>
      <c r="AS122" s="1">
        <f>IFERROR(Table2[[#This Row],[WASH_PIN]]*$W122,)</f>
        <v>0</v>
      </c>
      <c r="AT122" s="1">
        <f>IFERROR(Table2[[#This Row],[WASH_acute_PIN]]*$W122,)</f>
        <v>0</v>
      </c>
      <c r="AU122" s="1">
        <f>IFERROR(Table2[[#This Row],[Protection_PIN]]*$W122,)</f>
        <v>0</v>
      </c>
      <c r="AV122" s="1">
        <f>IFERROR(Table2[[#This Row],[Food_PIN]]*$W122,)</f>
        <v>0</v>
      </c>
      <c r="AW122" s="1">
        <f>IFERROR(Table2[[#This Row],[Protection_CP_PIN]]*$W122,)</f>
        <v>0</v>
      </c>
      <c r="AX122" s="1">
        <f>IFERROR(Table2[[#This Row],[Protection_GBV_PIN]]*$W122,)</f>
        <v>0</v>
      </c>
      <c r="AY122" s="1">
        <f>IFERROR(Table2[[#This Row],[Protection_MA_PIN]]*$W122,)</f>
        <v>0</v>
      </c>
      <c r="AZ122" s="1">
        <v>2</v>
      </c>
      <c r="BA122" s="1">
        <v>5</v>
      </c>
      <c r="BB122" s="1">
        <v>4</v>
      </c>
      <c r="BC122" s="1">
        <v>2</v>
      </c>
      <c r="BD122" s="1">
        <v>3</v>
      </c>
      <c r="BE122" s="1">
        <v>3</v>
      </c>
      <c r="BF122" s="1">
        <v>3</v>
      </c>
      <c r="BG122" s="1">
        <v>4</v>
      </c>
      <c r="BH122" s="1">
        <v>3</v>
      </c>
      <c r="BI122" s="1">
        <v>3</v>
      </c>
      <c r="BJ122" s="1">
        <v>4</v>
      </c>
      <c r="BK122" s="1" t="s">
        <v>665</v>
      </c>
      <c r="BL122" s="1">
        <v>3</v>
      </c>
    </row>
    <row r="123" spans="1:64" x14ac:dyDescent="0.35">
      <c r="A123" t="s">
        <v>104</v>
      </c>
      <c r="B123" t="s">
        <v>677</v>
      </c>
      <c r="C123" t="s">
        <v>105</v>
      </c>
      <c r="D123" t="s">
        <v>452</v>
      </c>
      <c r="E123" t="s">
        <v>805</v>
      </c>
      <c r="F123" t="s">
        <v>453</v>
      </c>
      <c r="G123" t="s">
        <v>452</v>
      </c>
      <c r="H123" s="1">
        <v>111601.5</v>
      </c>
      <c r="I123" s="1" t="s">
        <v>665</v>
      </c>
      <c r="J123" s="1">
        <v>101247</v>
      </c>
      <c r="K123" s="1">
        <v>60749</v>
      </c>
      <c r="L123" s="1">
        <v>27339.481362754563</v>
      </c>
      <c r="M123" s="1">
        <v>67257.600000000006</v>
      </c>
      <c r="N123" s="1">
        <v>40047</v>
      </c>
      <c r="O123" s="1">
        <v>107255.19512937934</v>
      </c>
      <c r="P123" s="1">
        <v>11454</v>
      </c>
      <c r="Q123" s="1">
        <v>74401</v>
      </c>
      <c r="R123" s="1">
        <v>115412.28292682926</v>
      </c>
      <c r="S123" s="1">
        <v>37194</v>
      </c>
      <c r="T123" s="1">
        <v>57437</v>
      </c>
      <c r="U123" s="1">
        <v>148111</v>
      </c>
      <c r="V123" s="3">
        <f>_xlfn.XLOOKUP(Table2[[#This Row],[admin3Pcode]],'Inter-sector dataset'!F:F,'Inter-sector dataset'!Q:Q)</f>
        <v>0</v>
      </c>
      <c r="W123" s="3">
        <f>_xlfn.XLOOKUP(Table2[[#This Row],[admin3Pcode]],'Inter-sector dataset'!F:F,'Inter-sector dataset'!R:R)</f>
        <v>0</v>
      </c>
      <c r="X123" s="1">
        <f>IFERROR(Table2[[#This Row],[Health_PIN]]*$V123,)</f>
        <v>0</v>
      </c>
      <c r="Y123" s="1">
        <f>IFERROR(Table2[[#This Row],[CCCM_PIN]]*$V123,)</f>
        <v>0</v>
      </c>
      <c r="Z123" s="1">
        <f>IFERROR(Table2[[#This Row],[ERL_PIN]]*$V123,)</f>
        <v>0</v>
      </c>
      <c r="AA123" s="1">
        <f>IFERROR(Table2[[#This Row],[NFI_PIN]]*$V123,)</f>
        <v>0</v>
      </c>
      <c r="AB123" s="1">
        <f>IFERROR(Table2[[#This Row],[Nutrition_PIN]]*$V123,)</f>
        <v>0</v>
      </c>
      <c r="AC123" s="1">
        <f>IFERROR(Table2[[#This Row],[Education_PIN]]*$V123,)</f>
        <v>0</v>
      </c>
      <c r="AD123" s="1">
        <f>IFERROR(Table2[[#This Row],[Shelter_PIN]]*$V123,)</f>
        <v>0</v>
      </c>
      <c r="AE123" s="1">
        <f>IFERROR(Table2[[#This Row],[WASH_PIN]]*$V123,)</f>
        <v>0</v>
      </c>
      <c r="AF123" s="1">
        <f>IFERROR(Table2[[#This Row],[WASH_acute_PIN]]*$V123,)</f>
        <v>0</v>
      </c>
      <c r="AG123" s="1">
        <f>IFERROR(Table2[[#This Row],[Protection_PIN]]*$V123,)</f>
        <v>0</v>
      </c>
      <c r="AH123" s="1">
        <f>IFERROR(Table2[[#This Row],[Food_PIN]]*$V123,)</f>
        <v>0</v>
      </c>
      <c r="AI123" s="1">
        <f>IFERROR(Table2[[#This Row],[Protection_CP_PIN]]*$V123,)</f>
        <v>0</v>
      </c>
      <c r="AJ123" s="1">
        <f>IFERROR(Table2[[#This Row],[Protection_GBV_PIN]]*$V123,)</f>
        <v>0</v>
      </c>
      <c r="AK123" s="1">
        <f>IFERROR(Table2[[#This Row],[Protection_MA_PIN]]*$V123,)</f>
        <v>0</v>
      </c>
      <c r="AL123" s="1">
        <f>IFERROR(Table2[[#This Row],[Health_PIN]]*$W123,)</f>
        <v>0</v>
      </c>
      <c r="AM123" s="1">
        <f>IFERROR(Table2[[#This Row],[CCCM_PIN]]*$W123,)</f>
        <v>0</v>
      </c>
      <c r="AN123" s="1">
        <f>IFERROR(Table2[[#This Row],[ERL_PIN]]*$W123,)</f>
        <v>0</v>
      </c>
      <c r="AO123" s="1">
        <f>IFERROR(Table2[[#This Row],[NFI_PIN]]*$W123,)</f>
        <v>0</v>
      </c>
      <c r="AP123" s="1">
        <f>IFERROR(Table2[[#This Row],[Nutrition_PIN]]*$W123,)</f>
        <v>0</v>
      </c>
      <c r="AQ123" s="1">
        <f>IFERROR(Table2[[#This Row],[Education_PIN]]*$W123,)</f>
        <v>0</v>
      </c>
      <c r="AR123" s="1">
        <f>IFERROR(Table2[[#This Row],[Shelter_PIN]]*$W123,)</f>
        <v>0</v>
      </c>
      <c r="AS123" s="1">
        <f>IFERROR(Table2[[#This Row],[WASH_PIN]]*$W123,)</f>
        <v>0</v>
      </c>
      <c r="AT123" s="1">
        <f>IFERROR(Table2[[#This Row],[WASH_acute_PIN]]*$W123,)</f>
        <v>0</v>
      </c>
      <c r="AU123" s="1">
        <f>IFERROR(Table2[[#This Row],[Protection_PIN]]*$W123,)</f>
        <v>0</v>
      </c>
      <c r="AV123" s="1">
        <f>IFERROR(Table2[[#This Row],[Food_PIN]]*$W123,)</f>
        <v>0</v>
      </c>
      <c r="AW123" s="1">
        <f>IFERROR(Table2[[#This Row],[Protection_CP_PIN]]*$W123,)</f>
        <v>0</v>
      </c>
      <c r="AX123" s="1">
        <f>IFERROR(Table2[[#This Row],[Protection_GBV_PIN]]*$W123,)</f>
        <v>0</v>
      </c>
      <c r="AY123" s="1">
        <f>IFERROR(Table2[[#This Row],[Protection_MA_PIN]]*$W123,)</f>
        <v>0</v>
      </c>
      <c r="AZ123" s="1">
        <v>3</v>
      </c>
      <c r="BA123" s="1">
        <v>3</v>
      </c>
      <c r="BB123" s="1">
        <v>4</v>
      </c>
      <c r="BC123" s="1">
        <v>4</v>
      </c>
      <c r="BD123" s="1">
        <v>3</v>
      </c>
      <c r="BE123" s="1">
        <v>4</v>
      </c>
      <c r="BF123" s="1">
        <v>3</v>
      </c>
      <c r="BG123" s="1">
        <v>3</v>
      </c>
      <c r="BH123" s="1">
        <v>4</v>
      </c>
      <c r="BI123" s="1">
        <v>3</v>
      </c>
      <c r="BJ123" s="1">
        <v>4</v>
      </c>
      <c r="BK123" s="1" t="s">
        <v>665</v>
      </c>
      <c r="BL123" s="1">
        <v>3</v>
      </c>
    </row>
    <row r="124" spans="1:64" x14ac:dyDescent="0.35">
      <c r="A124" t="s">
        <v>157</v>
      </c>
      <c r="B124" t="s">
        <v>748</v>
      </c>
      <c r="C124" t="s">
        <v>158</v>
      </c>
      <c r="D124" t="s">
        <v>161</v>
      </c>
      <c r="E124" t="s">
        <v>806</v>
      </c>
      <c r="F124" t="s">
        <v>162</v>
      </c>
      <c r="G124" t="s">
        <v>161</v>
      </c>
      <c r="H124" s="1">
        <v>112817.25</v>
      </c>
      <c r="I124" s="1" t="s">
        <v>665</v>
      </c>
      <c r="J124" s="1">
        <v>104612</v>
      </c>
      <c r="K124" s="1">
        <v>0</v>
      </c>
      <c r="L124" s="1">
        <v>64357.873802290487</v>
      </c>
      <c r="M124" s="1">
        <v>67372.3</v>
      </c>
      <c r="N124" s="1">
        <v>30085</v>
      </c>
      <c r="O124" s="1">
        <v>115960.3321917593</v>
      </c>
      <c r="P124" s="1">
        <v>1616</v>
      </c>
      <c r="Q124" s="1">
        <v>75212</v>
      </c>
      <c r="R124" s="1">
        <v>112620.36125654451</v>
      </c>
      <c r="S124" s="1">
        <v>56247</v>
      </c>
      <c r="T124" s="1">
        <v>40467</v>
      </c>
      <c r="U124" s="1">
        <v>150423</v>
      </c>
      <c r="V124" s="3">
        <f>_xlfn.XLOOKUP(Table2[[#This Row],[admin3Pcode]],'Inter-sector dataset'!F:F,'Inter-sector dataset'!Q:Q)</f>
        <v>0</v>
      </c>
      <c r="W124" s="3">
        <f>_xlfn.XLOOKUP(Table2[[#This Row],[admin3Pcode]],'Inter-sector dataset'!F:F,'Inter-sector dataset'!R:R)</f>
        <v>0</v>
      </c>
      <c r="X124" s="1">
        <f>IFERROR(Table2[[#This Row],[Health_PIN]]*$V124,)</f>
        <v>0</v>
      </c>
      <c r="Y124" s="1">
        <f>IFERROR(Table2[[#This Row],[CCCM_PIN]]*$V124,)</f>
        <v>0</v>
      </c>
      <c r="Z124" s="1">
        <f>IFERROR(Table2[[#This Row],[ERL_PIN]]*$V124,)</f>
        <v>0</v>
      </c>
      <c r="AA124" s="1">
        <f>IFERROR(Table2[[#This Row],[NFI_PIN]]*$V124,)</f>
        <v>0</v>
      </c>
      <c r="AB124" s="1">
        <f>IFERROR(Table2[[#This Row],[Nutrition_PIN]]*$V124,)</f>
        <v>0</v>
      </c>
      <c r="AC124" s="1">
        <f>IFERROR(Table2[[#This Row],[Education_PIN]]*$V124,)</f>
        <v>0</v>
      </c>
      <c r="AD124" s="1">
        <f>IFERROR(Table2[[#This Row],[Shelter_PIN]]*$V124,)</f>
        <v>0</v>
      </c>
      <c r="AE124" s="1">
        <f>IFERROR(Table2[[#This Row],[WASH_PIN]]*$V124,)</f>
        <v>0</v>
      </c>
      <c r="AF124" s="1">
        <f>IFERROR(Table2[[#This Row],[WASH_acute_PIN]]*$V124,)</f>
        <v>0</v>
      </c>
      <c r="AG124" s="1">
        <f>IFERROR(Table2[[#This Row],[Protection_PIN]]*$V124,)</f>
        <v>0</v>
      </c>
      <c r="AH124" s="1">
        <f>IFERROR(Table2[[#This Row],[Food_PIN]]*$V124,)</f>
        <v>0</v>
      </c>
      <c r="AI124" s="1">
        <f>IFERROR(Table2[[#This Row],[Protection_CP_PIN]]*$V124,)</f>
        <v>0</v>
      </c>
      <c r="AJ124" s="1">
        <f>IFERROR(Table2[[#This Row],[Protection_GBV_PIN]]*$V124,)</f>
        <v>0</v>
      </c>
      <c r="AK124" s="1">
        <f>IFERROR(Table2[[#This Row],[Protection_MA_PIN]]*$V124,)</f>
        <v>0</v>
      </c>
      <c r="AL124" s="1">
        <f>IFERROR(Table2[[#This Row],[Health_PIN]]*$W124,)</f>
        <v>0</v>
      </c>
      <c r="AM124" s="1">
        <f>IFERROR(Table2[[#This Row],[CCCM_PIN]]*$W124,)</f>
        <v>0</v>
      </c>
      <c r="AN124" s="1">
        <f>IFERROR(Table2[[#This Row],[ERL_PIN]]*$W124,)</f>
        <v>0</v>
      </c>
      <c r="AO124" s="1">
        <f>IFERROR(Table2[[#This Row],[NFI_PIN]]*$W124,)</f>
        <v>0</v>
      </c>
      <c r="AP124" s="1">
        <f>IFERROR(Table2[[#This Row],[Nutrition_PIN]]*$W124,)</f>
        <v>0</v>
      </c>
      <c r="AQ124" s="1">
        <f>IFERROR(Table2[[#This Row],[Education_PIN]]*$W124,)</f>
        <v>0</v>
      </c>
      <c r="AR124" s="1">
        <f>IFERROR(Table2[[#This Row],[Shelter_PIN]]*$W124,)</f>
        <v>0</v>
      </c>
      <c r="AS124" s="1">
        <f>IFERROR(Table2[[#This Row],[WASH_PIN]]*$W124,)</f>
        <v>0</v>
      </c>
      <c r="AT124" s="1">
        <f>IFERROR(Table2[[#This Row],[WASH_acute_PIN]]*$W124,)</f>
        <v>0</v>
      </c>
      <c r="AU124" s="1">
        <f>IFERROR(Table2[[#This Row],[Protection_PIN]]*$W124,)</f>
        <v>0</v>
      </c>
      <c r="AV124" s="1">
        <f>IFERROR(Table2[[#This Row],[Food_PIN]]*$W124,)</f>
        <v>0</v>
      </c>
      <c r="AW124" s="1">
        <f>IFERROR(Table2[[#This Row],[Protection_CP_PIN]]*$W124,)</f>
        <v>0</v>
      </c>
      <c r="AX124" s="1">
        <f>IFERROR(Table2[[#This Row],[Protection_GBV_PIN]]*$W124,)</f>
        <v>0</v>
      </c>
      <c r="AY124" s="1">
        <f>IFERROR(Table2[[#This Row],[Protection_MA_PIN]]*$W124,)</f>
        <v>0</v>
      </c>
      <c r="AZ124" s="1">
        <v>2</v>
      </c>
      <c r="BA124" s="1">
        <v>3</v>
      </c>
      <c r="BB124" s="1">
        <v>4</v>
      </c>
      <c r="BC124" s="1">
        <v>1</v>
      </c>
      <c r="BD124" s="1">
        <v>3</v>
      </c>
      <c r="BE124" s="1">
        <v>4</v>
      </c>
      <c r="BF124" s="1">
        <v>3</v>
      </c>
      <c r="BG124" s="1">
        <v>4</v>
      </c>
      <c r="BH124" s="1">
        <v>3</v>
      </c>
      <c r="BI124" s="1">
        <v>3</v>
      </c>
      <c r="BJ124" s="1">
        <v>4</v>
      </c>
      <c r="BK124" s="1" t="s">
        <v>665</v>
      </c>
      <c r="BL124" s="1">
        <v>3</v>
      </c>
    </row>
    <row r="125" spans="1:64" x14ac:dyDescent="0.35">
      <c r="A125" t="s">
        <v>205</v>
      </c>
      <c r="B125" t="s">
        <v>723</v>
      </c>
      <c r="C125" t="s">
        <v>206</v>
      </c>
      <c r="D125" t="s">
        <v>205</v>
      </c>
      <c r="E125" t="s">
        <v>807</v>
      </c>
      <c r="F125" t="s">
        <v>368</v>
      </c>
      <c r="G125" t="s">
        <v>205</v>
      </c>
      <c r="H125" s="1">
        <v>95701.5</v>
      </c>
      <c r="I125" s="1" t="s">
        <v>665</v>
      </c>
      <c r="J125" s="1">
        <v>172994</v>
      </c>
      <c r="K125" s="1">
        <v>54311</v>
      </c>
      <c r="L125" s="1">
        <v>49017.65477305137</v>
      </c>
      <c r="M125" s="1">
        <v>69309.8</v>
      </c>
      <c r="N125" s="1">
        <v>38484</v>
      </c>
      <c r="O125" s="1">
        <v>191403</v>
      </c>
      <c r="P125" s="1">
        <v>166729</v>
      </c>
      <c r="Q125" s="1">
        <v>95702</v>
      </c>
      <c r="R125" s="1">
        <v>100369.86585365853</v>
      </c>
      <c r="S125" s="1">
        <v>41649.600000000006</v>
      </c>
      <c r="T125" s="1">
        <v>83204</v>
      </c>
      <c r="U125" s="1">
        <v>88876</v>
      </c>
      <c r="V125" s="3">
        <f>_xlfn.XLOOKUP(Table2[[#This Row],[admin3Pcode]],'Inter-sector dataset'!F:F,'Inter-sector dataset'!Q:Q)</f>
        <v>0</v>
      </c>
      <c r="W125" s="3">
        <f>_xlfn.XLOOKUP(Table2[[#This Row],[admin3Pcode]],'Inter-sector dataset'!F:F,'Inter-sector dataset'!R:R)</f>
        <v>0</v>
      </c>
      <c r="X125" s="1">
        <f>IFERROR(Table2[[#This Row],[Health_PIN]]*$V125,)</f>
        <v>0</v>
      </c>
      <c r="Y125" s="1">
        <f>IFERROR(Table2[[#This Row],[CCCM_PIN]]*$V125,)</f>
        <v>0</v>
      </c>
      <c r="Z125" s="1">
        <f>IFERROR(Table2[[#This Row],[ERL_PIN]]*$V125,)</f>
        <v>0</v>
      </c>
      <c r="AA125" s="1">
        <f>IFERROR(Table2[[#This Row],[NFI_PIN]]*$V125,)</f>
        <v>0</v>
      </c>
      <c r="AB125" s="1">
        <f>IFERROR(Table2[[#This Row],[Nutrition_PIN]]*$V125,)</f>
        <v>0</v>
      </c>
      <c r="AC125" s="1">
        <f>IFERROR(Table2[[#This Row],[Education_PIN]]*$V125,)</f>
        <v>0</v>
      </c>
      <c r="AD125" s="1">
        <f>IFERROR(Table2[[#This Row],[Shelter_PIN]]*$V125,)</f>
        <v>0</v>
      </c>
      <c r="AE125" s="1">
        <f>IFERROR(Table2[[#This Row],[WASH_PIN]]*$V125,)</f>
        <v>0</v>
      </c>
      <c r="AF125" s="1">
        <f>IFERROR(Table2[[#This Row],[WASH_acute_PIN]]*$V125,)</f>
        <v>0</v>
      </c>
      <c r="AG125" s="1">
        <f>IFERROR(Table2[[#This Row],[Protection_PIN]]*$V125,)</f>
        <v>0</v>
      </c>
      <c r="AH125" s="1">
        <f>IFERROR(Table2[[#This Row],[Food_PIN]]*$V125,)</f>
        <v>0</v>
      </c>
      <c r="AI125" s="1">
        <f>IFERROR(Table2[[#This Row],[Protection_CP_PIN]]*$V125,)</f>
        <v>0</v>
      </c>
      <c r="AJ125" s="1">
        <f>IFERROR(Table2[[#This Row],[Protection_GBV_PIN]]*$V125,)</f>
        <v>0</v>
      </c>
      <c r="AK125" s="1">
        <f>IFERROR(Table2[[#This Row],[Protection_MA_PIN]]*$V125,)</f>
        <v>0</v>
      </c>
      <c r="AL125" s="1">
        <f>IFERROR(Table2[[#This Row],[Health_PIN]]*$W125,)</f>
        <v>0</v>
      </c>
      <c r="AM125" s="1">
        <f>IFERROR(Table2[[#This Row],[CCCM_PIN]]*$W125,)</f>
        <v>0</v>
      </c>
      <c r="AN125" s="1">
        <f>IFERROR(Table2[[#This Row],[ERL_PIN]]*$W125,)</f>
        <v>0</v>
      </c>
      <c r="AO125" s="1">
        <f>IFERROR(Table2[[#This Row],[NFI_PIN]]*$W125,)</f>
        <v>0</v>
      </c>
      <c r="AP125" s="1">
        <f>IFERROR(Table2[[#This Row],[Nutrition_PIN]]*$W125,)</f>
        <v>0</v>
      </c>
      <c r="AQ125" s="1">
        <f>IFERROR(Table2[[#This Row],[Education_PIN]]*$W125,)</f>
        <v>0</v>
      </c>
      <c r="AR125" s="1">
        <f>IFERROR(Table2[[#This Row],[Shelter_PIN]]*$W125,)</f>
        <v>0</v>
      </c>
      <c r="AS125" s="1">
        <f>IFERROR(Table2[[#This Row],[WASH_PIN]]*$W125,)</f>
        <v>0</v>
      </c>
      <c r="AT125" s="1">
        <f>IFERROR(Table2[[#This Row],[WASH_acute_PIN]]*$W125,)</f>
        <v>0</v>
      </c>
      <c r="AU125" s="1">
        <f>IFERROR(Table2[[#This Row],[Protection_PIN]]*$W125,)</f>
        <v>0</v>
      </c>
      <c r="AV125" s="1">
        <f>IFERROR(Table2[[#This Row],[Food_PIN]]*$W125,)</f>
        <v>0</v>
      </c>
      <c r="AW125" s="1">
        <f>IFERROR(Table2[[#This Row],[Protection_CP_PIN]]*$W125,)</f>
        <v>0</v>
      </c>
      <c r="AX125" s="1">
        <f>IFERROR(Table2[[#This Row],[Protection_GBV_PIN]]*$W125,)</f>
        <v>0</v>
      </c>
      <c r="AY125" s="1">
        <f>IFERROR(Table2[[#This Row],[Protection_MA_PIN]]*$W125,)</f>
        <v>0</v>
      </c>
      <c r="AZ125" s="1">
        <v>3</v>
      </c>
      <c r="BA125" s="1">
        <v>3</v>
      </c>
      <c r="BB125" s="1">
        <v>4</v>
      </c>
      <c r="BC125" s="1">
        <v>3</v>
      </c>
      <c r="BD125" s="1">
        <v>3</v>
      </c>
      <c r="BE125" s="1">
        <v>3</v>
      </c>
      <c r="BF125" s="1">
        <v>3</v>
      </c>
      <c r="BG125" s="1">
        <v>3</v>
      </c>
      <c r="BH125" s="1">
        <v>4</v>
      </c>
      <c r="BI125" s="1">
        <v>3</v>
      </c>
      <c r="BJ125" s="1">
        <v>4</v>
      </c>
      <c r="BK125" s="1" t="s">
        <v>665</v>
      </c>
      <c r="BL125" s="1">
        <v>4</v>
      </c>
    </row>
    <row r="126" spans="1:64" x14ac:dyDescent="0.35">
      <c r="A126" t="s">
        <v>104</v>
      </c>
      <c r="B126" t="s">
        <v>677</v>
      </c>
      <c r="C126" t="s">
        <v>105</v>
      </c>
      <c r="D126" t="s">
        <v>153</v>
      </c>
      <c r="E126" t="s">
        <v>808</v>
      </c>
      <c r="F126" t="s">
        <v>155</v>
      </c>
      <c r="G126" t="s">
        <v>153</v>
      </c>
      <c r="H126" s="1">
        <v>147358.5</v>
      </c>
      <c r="I126" s="1" t="s">
        <v>665</v>
      </c>
      <c r="J126" s="1">
        <v>190809</v>
      </c>
      <c r="K126" s="1">
        <v>41385</v>
      </c>
      <c r="L126" s="1">
        <v>42208.196501094251</v>
      </c>
      <c r="M126" s="1">
        <v>9042.7535893040858</v>
      </c>
      <c r="N126" s="1">
        <v>55696</v>
      </c>
      <c r="O126" s="1">
        <v>33009.921060978362</v>
      </c>
      <c r="P126" s="1">
        <v>8907</v>
      </c>
      <c r="Q126" s="1">
        <v>98239</v>
      </c>
      <c r="R126" s="1">
        <v>118390.58974358975</v>
      </c>
      <c r="S126" s="1">
        <v>34350.800000000003</v>
      </c>
      <c r="T126" s="1">
        <v>88332</v>
      </c>
      <c r="U126" s="1">
        <v>48638</v>
      </c>
      <c r="V126" s="3">
        <f>_xlfn.XLOOKUP(Table2[[#This Row],[admin3Pcode]],'Inter-sector dataset'!F:F,'Inter-sector dataset'!Q:Q)</f>
        <v>0</v>
      </c>
      <c r="W126" s="3">
        <f>_xlfn.XLOOKUP(Table2[[#This Row],[admin3Pcode]],'Inter-sector dataset'!F:F,'Inter-sector dataset'!R:R)</f>
        <v>0</v>
      </c>
      <c r="X126" s="1">
        <f>IFERROR(Table2[[#This Row],[Health_PIN]]*$V126,)</f>
        <v>0</v>
      </c>
      <c r="Y126" s="1">
        <f>IFERROR(Table2[[#This Row],[CCCM_PIN]]*$V126,)</f>
        <v>0</v>
      </c>
      <c r="Z126" s="1">
        <f>IFERROR(Table2[[#This Row],[ERL_PIN]]*$V126,)</f>
        <v>0</v>
      </c>
      <c r="AA126" s="1">
        <f>IFERROR(Table2[[#This Row],[NFI_PIN]]*$V126,)</f>
        <v>0</v>
      </c>
      <c r="AB126" s="1">
        <f>IFERROR(Table2[[#This Row],[Nutrition_PIN]]*$V126,)</f>
        <v>0</v>
      </c>
      <c r="AC126" s="1">
        <f>IFERROR(Table2[[#This Row],[Education_PIN]]*$V126,)</f>
        <v>0</v>
      </c>
      <c r="AD126" s="1">
        <f>IFERROR(Table2[[#This Row],[Shelter_PIN]]*$V126,)</f>
        <v>0</v>
      </c>
      <c r="AE126" s="1">
        <f>IFERROR(Table2[[#This Row],[WASH_PIN]]*$V126,)</f>
        <v>0</v>
      </c>
      <c r="AF126" s="1">
        <f>IFERROR(Table2[[#This Row],[WASH_acute_PIN]]*$V126,)</f>
        <v>0</v>
      </c>
      <c r="AG126" s="1">
        <f>IFERROR(Table2[[#This Row],[Protection_PIN]]*$V126,)</f>
        <v>0</v>
      </c>
      <c r="AH126" s="1">
        <f>IFERROR(Table2[[#This Row],[Food_PIN]]*$V126,)</f>
        <v>0</v>
      </c>
      <c r="AI126" s="1">
        <f>IFERROR(Table2[[#This Row],[Protection_CP_PIN]]*$V126,)</f>
        <v>0</v>
      </c>
      <c r="AJ126" s="1">
        <f>IFERROR(Table2[[#This Row],[Protection_GBV_PIN]]*$V126,)</f>
        <v>0</v>
      </c>
      <c r="AK126" s="1">
        <f>IFERROR(Table2[[#This Row],[Protection_MA_PIN]]*$V126,)</f>
        <v>0</v>
      </c>
      <c r="AL126" s="1">
        <f>IFERROR(Table2[[#This Row],[Health_PIN]]*$W126,)</f>
        <v>0</v>
      </c>
      <c r="AM126" s="1">
        <f>IFERROR(Table2[[#This Row],[CCCM_PIN]]*$W126,)</f>
        <v>0</v>
      </c>
      <c r="AN126" s="1">
        <f>IFERROR(Table2[[#This Row],[ERL_PIN]]*$W126,)</f>
        <v>0</v>
      </c>
      <c r="AO126" s="1">
        <f>IFERROR(Table2[[#This Row],[NFI_PIN]]*$W126,)</f>
        <v>0</v>
      </c>
      <c r="AP126" s="1">
        <f>IFERROR(Table2[[#This Row],[Nutrition_PIN]]*$W126,)</f>
        <v>0</v>
      </c>
      <c r="AQ126" s="1">
        <f>IFERROR(Table2[[#This Row],[Education_PIN]]*$W126,)</f>
        <v>0</v>
      </c>
      <c r="AR126" s="1">
        <f>IFERROR(Table2[[#This Row],[Shelter_PIN]]*$W126,)</f>
        <v>0</v>
      </c>
      <c r="AS126" s="1">
        <f>IFERROR(Table2[[#This Row],[WASH_PIN]]*$W126,)</f>
        <v>0</v>
      </c>
      <c r="AT126" s="1">
        <f>IFERROR(Table2[[#This Row],[WASH_acute_PIN]]*$W126,)</f>
        <v>0</v>
      </c>
      <c r="AU126" s="1">
        <f>IFERROR(Table2[[#This Row],[Protection_PIN]]*$W126,)</f>
        <v>0</v>
      </c>
      <c r="AV126" s="1">
        <f>IFERROR(Table2[[#This Row],[Food_PIN]]*$W126,)</f>
        <v>0</v>
      </c>
      <c r="AW126" s="1">
        <f>IFERROR(Table2[[#This Row],[Protection_CP_PIN]]*$W126,)</f>
        <v>0</v>
      </c>
      <c r="AX126" s="1">
        <f>IFERROR(Table2[[#This Row],[Protection_GBV_PIN]]*$W126,)</f>
        <v>0</v>
      </c>
      <c r="AY126" s="1">
        <f>IFERROR(Table2[[#This Row],[Protection_MA_PIN]]*$W126,)</f>
        <v>0</v>
      </c>
      <c r="AZ126" s="1">
        <v>3</v>
      </c>
      <c r="BA126" s="1">
        <v>1</v>
      </c>
      <c r="BB126" s="1">
        <v>3</v>
      </c>
      <c r="BC126" s="1">
        <v>3</v>
      </c>
      <c r="BD126" s="1">
        <v>3</v>
      </c>
      <c r="BE126" s="1">
        <v>4</v>
      </c>
      <c r="BF126" s="1">
        <v>3</v>
      </c>
      <c r="BG126" s="1">
        <v>3</v>
      </c>
      <c r="BH126" s="1">
        <v>4</v>
      </c>
      <c r="BI126" s="1">
        <v>3</v>
      </c>
      <c r="BJ126" s="1">
        <v>3</v>
      </c>
      <c r="BK126" s="1" t="s">
        <v>665</v>
      </c>
      <c r="BL126" s="1">
        <v>2</v>
      </c>
    </row>
    <row r="127" spans="1:64" x14ac:dyDescent="0.35">
      <c r="A127" t="s">
        <v>104</v>
      </c>
      <c r="B127" t="s">
        <v>677</v>
      </c>
      <c r="C127" t="s">
        <v>105</v>
      </c>
      <c r="D127" t="s">
        <v>438</v>
      </c>
      <c r="E127" t="s">
        <v>809</v>
      </c>
      <c r="F127" t="s">
        <v>440</v>
      </c>
      <c r="G127" t="s">
        <v>438</v>
      </c>
      <c r="H127" s="1">
        <v>221106.75</v>
      </c>
      <c r="I127" s="1" t="s">
        <v>665</v>
      </c>
      <c r="J127" s="1">
        <v>288533</v>
      </c>
      <c r="K127" s="1">
        <v>84657</v>
      </c>
      <c r="L127" s="1">
        <v>39633.010386469519</v>
      </c>
      <c r="M127" s="1">
        <v>99707.883333333331</v>
      </c>
      <c r="N127" s="1">
        <v>83057</v>
      </c>
      <c r="O127" s="1">
        <v>159834.8896182398</v>
      </c>
      <c r="P127" s="1">
        <v>64480</v>
      </c>
      <c r="Q127" s="1">
        <v>147405</v>
      </c>
      <c r="R127" s="1">
        <v>206205.20218579235</v>
      </c>
      <c r="S127" s="1">
        <v>59667.600000000006</v>
      </c>
      <c r="T127" s="1">
        <v>126548</v>
      </c>
      <c r="U127" s="1">
        <v>294809</v>
      </c>
      <c r="V127" s="3">
        <f>_xlfn.XLOOKUP(Table2[[#This Row],[admin3Pcode]],'Inter-sector dataset'!F:F,'Inter-sector dataset'!Q:Q)</f>
        <v>0</v>
      </c>
      <c r="W127" s="3">
        <f>_xlfn.XLOOKUP(Table2[[#This Row],[admin3Pcode]],'Inter-sector dataset'!F:F,'Inter-sector dataset'!R:R)</f>
        <v>0</v>
      </c>
      <c r="X127" s="1">
        <f>IFERROR(Table2[[#This Row],[Health_PIN]]*$V127,)</f>
        <v>0</v>
      </c>
      <c r="Y127" s="1">
        <f>IFERROR(Table2[[#This Row],[CCCM_PIN]]*$V127,)</f>
        <v>0</v>
      </c>
      <c r="Z127" s="1">
        <f>IFERROR(Table2[[#This Row],[ERL_PIN]]*$V127,)</f>
        <v>0</v>
      </c>
      <c r="AA127" s="1">
        <f>IFERROR(Table2[[#This Row],[NFI_PIN]]*$V127,)</f>
        <v>0</v>
      </c>
      <c r="AB127" s="1">
        <f>IFERROR(Table2[[#This Row],[Nutrition_PIN]]*$V127,)</f>
        <v>0</v>
      </c>
      <c r="AC127" s="1">
        <f>IFERROR(Table2[[#This Row],[Education_PIN]]*$V127,)</f>
        <v>0</v>
      </c>
      <c r="AD127" s="1">
        <f>IFERROR(Table2[[#This Row],[Shelter_PIN]]*$V127,)</f>
        <v>0</v>
      </c>
      <c r="AE127" s="1">
        <f>IFERROR(Table2[[#This Row],[WASH_PIN]]*$V127,)</f>
        <v>0</v>
      </c>
      <c r="AF127" s="1">
        <f>IFERROR(Table2[[#This Row],[WASH_acute_PIN]]*$V127,)</f>
        <v>0</v>
      </c>
      <c r="AG127" s="1">
        <f>IFERROR(Table2[[#This Row],[Protection_PIN]]*$V127,)</f>
        <v>0</v>
      </c>
      <c r="AH127" s="1">
        <f>IFERROR(Table2[[#This Row],[Food_PIN]]*$V127,)</f>
        <v>0</v>
      </c>
      <c r="AI127" s="1">
        <f>IFERROR(Table2[[#This Row],[Protection_CP_PIN]]*$V127,)</f>
        <v>0</v>
      </c>
      <c r="AJ127" s="1">
        <f>IFERROR(Table2[[#This Row],[Protection_GBV_PIN]]*$V127,)</f>
        <v>0</v>
      </c>
      <c r="AK127" s="1">
        <f>IFERROR(Table2[[#This Row],[Protection_MA_PIN]]*$V127,)</f>
        <v>0</v>
      </c>
      <c r="AL127" s="1">
        <f>IFERROR(Table2[[#This Row],[Health_PIN]]*$W127,)</f>
        <v>0</v>
      </c>
      <c r="AM127" s="1">
        <f>IFERROR(Table2[[#This Row],[CCCM_PIN]]*$W127,)</f>
        <v>0</v>
      </c>
      <c r="AN127" s="1">
        <f>IFERROR(Table2[[#This Row],[ERL_PIN]]*$W127,)</f>
        <v>0</v>
      </c>
      <c r="AO127" s="1">
        <f>IFERROR(Table2[[#This Row],[NFI_PIN]]*$W127,)</f>
        <v>0</v>
      </c>
      <c r="AP127" s="1">
        <f>IFERROR(Table2[[#This Row],[Nutrition_PIN]]*$W127,)</f>
        <v>0</v>
      </c>
      <c r="AQ127" s="1">
        <f>IFERROR(Table2[[#This Row],[Education_PIN]]*$W127,)</f>
        <v>0</v>
      </c>
      <c r="AR127" s="1">
        <f>IFERROR(Table2[[#This Row],[Shelter_PIN]]*$W127,)</f>
        <v>0</v>
      </c>
      <c r="AS127" s="1">
        <f>IFERROR(Table2[[#This Row],[WASH_PIN]]*$W127,)</f>
        <v>0</v>
      </c>
      <c r="AT127" s="1">
        <f>IFERROR(Table2[[#This Row],[WASH_acute_PIN]]*$W127,)</f>
        <v>0</v>
      </c>
      <c r="AU127" s="1">
        <f>IFERROR(Table2[[#This Row],[Protection_PIN]]*$W127,)</f>
        <v>0</v>
      </c>
      <c r="AV127" s="1">
        <f>IFERROR(Table2[[#This Row],[Food_PIN]]*$W127,)</f>
        <v>0</v>
      </c>
      <c r="AW127" s="1">
        <f>IFERROR(Table2[[#This Row],[Protection_CP_PIN]]*$W127,)</f>
        <v>0</v>
      </c>
      <c r="AX127" s="1">
        <f>IFERROR(Table2[[#This Row],[Protection_GBV_PIN]]*$W127,)</f>
        <v>0</v>
      </c>
      <c r="AY127" s="1">
        <f>IFERROR(Table2[[#This Row],[Protection_MA_PIN]]*$W127,)</f>
        <v>0</v>
      </c>
      <c r="AZ127" s="1">
        <v>3</v>
      </c>
      <c r="BA127" s="1">
        <v>5</v>
      </c>
      <c r="BB127" s="1">
        <v>4</v>
      </c>
      <c r="BC127" s="1">
        <v>3</v>
      </c>
      <c r="BD127" s="1">
        <v>4</v>
      </c>
      <c r="BE127" s="1">
        <v>4</v>
      </c>
      <c r="BF127" s="1">
        <v>3</v>
      </c>
      <c r="BG127" s="1">
        <v>3</v>
      </c>
      <c r="BH127" s="1">
        <v>4</v>
      </c>
      <c r="BI127" s="1">
        <v>3</v>
      </c>
      <c r="BJ127" s="1">
        <v>4</v>
      </c>
      <c r="BK127" s="1" t="s">
        <v>665</v>
      </c>
      <c r="BL127" s="1">
        <v>3</v>
      </c>
    </row>
    <row r="128" spans="1:64" x14ac:dyDescent="0.35">
      <c r="A128" t="s">
        <v>6</v>
      </c>
      <c r="B128" t="s">
        <v>667</v>
      </c>
      <c r="C128" t="s">
        <v>7</v>
      </c>
      <c r="D128" t="s">
        <v>6</v>
      </c>
      <c r="E128" t="s">
        <v>810</v>
      </c>
      <c r="F128" t="s">
        <v>413</v>
      </c>
      <c r="G128" t="s">
        <v>6</v>
      </c>
      <c r="H128" s="1">
        <v>154986</v>
      </c>
      <c r="I128" s="1" t="s">
        <v>665</v>
      </c>
      <c r="J128" s="1">
        <v>279922</v>
      </c>
      <c r="K128" s="1">
        <v>61994</v>
      </c>
      <c r="L128" s="1">
        <v>74004.823566001316</v>
      </c>
      <c r="M128" s="1">
        <v>94286.5</v>
      </c>
      <c r="N128" s="1">
        <v>57220</v>
      </c>
      <c r="O128" s="1">
        <v>149650.06451564442</v>
      </c>
      <c r="P128" s="1">
        <v>10564</v>
      </c>
      <c r="Q128" s="1">
        <v>154986</v>
      </c>
      <c r="R128" s="1">
        <v>145701.12442396313</v>
      </c>
      <c r="S128" s="1">
        <v>55145.600000000006</v>
      </c>
      <c r="T128" s="1">
        <v>85264</v>
      </c>
      <c r="U128" s="1" t="s">
        <v>665</v>
      </c>
      <c r="V128" s="3">
        <f>_xlfn.XLOOKUP(Table2[[#This Row],[admin3Pcode]],'Inter-sector dataset'!F:F,'Inter-sector dataset'!Q:Q)</f>
        <v>0</v>
      </c>
      <c r="W128" s="3">
        <f>_xlfn.XLOOKUP(Table2[[#This Row],[admin3Pcode]],'Inter-sector dataset'!F:F,'Inter-sector dataset'!R:R)</f>
        <v>0</v>
      </c>
      <c r="X128" s="1">
        <f>IFERROR(Table2[[#This Row],[Health_PIN]]*$V128,)</f>
        <v>0</v>
      </c>
      <c r="Y128" s="1">
        <f>IFERROR(Table2[[#This Row],[CCCM_PIN]]*$V128,)</f>
        <v>0</v>
      </c>
      <c r="Z128" s="1">
        <f>IFERROR(Table2[[#This Row],[ERL_PIN]]*$V128,)</f>
        <v>0</v>
      </c>
      <c r="AA128" s="1">
        <f>IFERROR(Table2[[#This Row],[NFI_PIN]]*$V128,)</f>
        <v>0</v>
      </c>
      <c r="AB128" s="1">
        <f>IFERROR(Table2[[#This Row],[Nutrition_PIN]]*$V128,)</f>
        <v>0</v>
      </c>
      <c r="AC128" s="1">
        <f>IFERROR(Table2[[#This Row],[Education_PIN]]*$V128,)</f>
        <v>0</v>
      </c>
      <c r="AD128" s="1">
        <f>IFERROR(Table2[[#This Row],[Shelter_PIN]]*$V128,)</f>
        <v>0</v>
      </c>
      <c r="AE128" s="1">
        <f>IFERROR(Table2[[#This Row],[WASH_PIN]]*$V128,)</f>
        <v>0</v>
      </c>
      <c r="AF128" s="1">
        <f>IFERROR(Table2[[#This Row],[WASH_acute_PIN]]*$V128,)</f>
        <v>0</v>
      </c>
      <c r="AG128" s="1">
        <f>IFERROR(Table2[[#This Row],[Protection_PIN]]*$V128,)</f>
        <v>0</v>
      </c>
      <c r="AH128" s="1">
        <f>IFERROR(Table2[[#This Row],[Food_PIN]]*$V128,)</f>
        <v>0</v>
      </c>
      <c r="AI128" s="1">
        <f>IFERROR(Table2[[#This Row],[Protection_CP_PIN]]*$V128,)</f>
        <v>0</v>
      </c>
      <c r="AJ128" s="1">
        <f>IFERROR(Table2[[#This Row],[Protection_GBV_PIN]]*$V128,)</f>
        <v>0</v>
      </c>
      <c r="AK128" s="1">
        <f>IFERROR(Table2[[#This Row],[Protection_MA_PIN]]*$V128,)</f>
        <v>0</v>
      </c>
      <c r="AL128" s="1">
        <f>IFERROR(Table2[[#This Row],[Health_PIN]]*$W128,)</f>
        <v>0</v>
      </c>
      <c r="AM128" s="1">
        <f>IFERROR(Table2[[#This Row],[CCCM_PIN]]*$W128,)</f>
        <v>0</v>
      </c>
      <c r="AN128" s="1">
        <f>IFERROR(Table2[[#This Row],[ERL_PIN]]*$W128,)</f>
        <v>0</v>
      </c>
      <c r="AO128" s="1">
        <f>IFERROR(Table2[[#This Row],[NFI_PIN]]*$W128,)</f>
        <v>0</v>
      </c>
      <c r="AP128" s="1">
        <f>IFERROR(Table2[[#This Row],[Nutrition_PIN]]*$W128,)</f>
        <v>0</v>
      </c>
      <c r="AQ128" s="1">
        <f>IFERROR(Table2[[#This Row],[Education_PIN]]*$W128,)</f>
        <v>0</v>
      </c>
      <c r="AR128" s="1">
        <f>IFERROR(Table2[[#This Row],[Shelter_PIN]]*$W128,)</f>
        <v>0</v>
      </c>
      <c r="AS128" s="1">
        <f>IFERROR(Table2[[#This Row],[WASH_PIN]]*$W128,)</f>
        <v>0</v>
      </c>
      <c r="AT128" s="1">
        <f>IFERROR(Table2[[#This Row],[WASH_acute_PIN]]*$W128,)</f>
        <v>0</v>
      </c>
      <c r="AU128" s="1">
        <f>IFERROR(Table2[[#This Row],[Protection_PIN]]*$W128,)</f>
        <v>0</v>
      </c>
      <c r="AV128" s="1">
        <f>IFERROR(Table2[[#This Row],[Food_PIN]]*$W128,)</f>
        <v>0</v>
      </c>
      <c r="AW128" s="1">
        <f>IFERROR(Table2[[#This Row],[Protection_CP_PIN]]*$W128,)</f>
        <v>0</v>
      </c>
      <c r="AX128" s="1">
        <f>IFERROR(Table2[[#This Row],[Protection_GBV_PIN]]*$W128,)</f>
        <v>0</v>
      </c>
      <c r="AY128" s="1">
        <f>IFERROR(Table2[[#This Row],[Protection_MA_PIN]]*$W128,)</f>
        <v>0</v>
      </c>
      <c r="AZ128" s="1">
        <v>2</v>
      </c>
      <c r="BA128" s="1">
        <v>3</v>
      </c>
      <c r="BB128" s="1">
        <v>4</v>
      </c>
      <c r="BC128" s="1">
        <v>2</v>
      </c>
      <c r="BD128" s="1">
        <v>3</v>
      </c>
      <c r="BE128" s="1">
        <v>3</v>
      </c>
      <c r="BF128" s="1">
        <v>3</v>
      </c>
      <c r="BG128" s="1">
        <v>3</v>
      </c>
      <c r="BH128" s="1">
        <v>3</v>
      </c>
      <c r="BI128" s="1">
        <v>3</v>
      </c>
      <c r="BJ128" s="1">
        <v>3</v>
      </c>
      <c r="BK128" s="1" t="s">
        <v>665</v>
      </c>
      <c r="BL128" s="1">
        <v>3</v>
      </c>
    </row>
    <row r="129" spans="1:64" x14ac:dyDescent="0.35">
      <c r="A129" t="s">
        <v>104</v>
      </c>
      <c r="B129" t="s">
        <v>677</v>
      </c>
      <c r="C129" t="s">
        <v>105</v>
      </c>
      <c r="D129" t="s">
        <v>811</v>
      </c>
      <c r="E129" t="s">
        <v>812</v>
      </c>
      <c r="F129" t="s">
        <v>308</v>
      </c>
      <c r="G129" t="s">
        <v>811</v>
      </c>
      <c r="H129" s="1">
        <v>343238</v>
      </c>
      <c r="I129" s="1" t="s">
        <v>665</v>
      </c>
      <c r="J129" s="1">
        <v>268952</v>
      </c>
      <c r="K129" s="1">
        <v>100721</v>
      </c>
      <c r="L129" s="1">
        <v>52666.67983920456</v>
      </c>
      <c r="M129" s="1">
        <v>134275.98333333334</v>
      </c>
      <c r="N129" s="1">
        <v>81053</v>
      </c>
      <c r="O129" s="1">
        <v>332011.63503545488</v>
      </c>
      <c r="P129" s="1">
        <v>216847</v>
      </c>
      <c r="Q129" s="1">
        <v>171619</v>
      </c>
      <c r="R129" s="1">
        <v>268454.30167597765</v>
      </c>
      <c r="S129" s="1">
        <v>70081.200000000012</v>
      </c>
      <c r="T129" s="1">
        <v>125369</v>
      </c>
      <c r="U129" s="1">
        <v>146564</v>
      </c>
      <c r="V129" s="3">
        <f>_xlfn.XLOOKUP(Table2[[#This Row],[admin3Pcode]],'Inter-sector dataset'!F:F,'Inter-sector dataset'!Q:Q)</f>
        <v>0</v>
      </c>
      <c r="W129" s="3">
        <f>_xlfn.XLOOKUP(Table2[[#This Row],[admin3Pcode]],'Inter-sector dataset'!F:F,'Inter-sector dataset'!R:R)</f>
        <v>0</v>
      </c>
      <c r="X129" s="1">
        <f>IFERROR(Table2[[#This Row],[Health_PIN]]*$V129,)</f>
        <v>0</v>
      </c>
      <c r="Y129" s="1">
        <f>IFERROR(Table2[[#This Row],[CCCM_PIN]]*$V129,)</f>
        <v>0</v>
      </c>
      <c r="Z129" s="1">
        <f>IFERROR(Table2[[#This Row],[ERL_PIN]]*$V129,)</f>
        <v>0</v>
      </c>
      <c r="AA129" s="1">
        <f>IFERROR(Table2[[#This Row],[NFI_PIN]]*$V129,)</f>
        <v>0</v>
      </c>
      <c r="AB129" s="1">
        <f>IFERROR(Table2[[#This Row],[Nutrition_PIN]]*$V129,)</f>
        <v>0</v>
      </c>
      <c r="AC129" s="1">
        <f>IFERROR(Table2[[#This Row],[Education_PIN]]*$V129,)</f>
        <v>0</v>
      </c>
      <c r="AD129" s="1">
        <f>IFERROR(Table2[[#This Row],[Shelter_PIN]]*$V129,)</f>
        <v>0</v>
      </c>
      <c r="AE129" s="1">
        <f>IFERROR(Table2[[#This Row],[WASH_PIN]]*$V129,)</f>
        <v>0</v>
      </c>
      <c r="AF129" s="1">
        <f>IFERROR(Table2[[#This Row],[WASH_acute_PIN]]*$V129,)</f>
        <v>0</v>
      </c>
      <c r="AG129" s="1">
        <f>IFERROR(Table2[[#This Row],[Protection_PIN]]*$V129,)</f>
        <v>0</v>
      </c>
      <c r="AH129" s="1">
        <f>IFERROR(Table2[[#This Row],[Food_PIN]]*$V129,)</f>
        <v>0</v>
      </c>
      <c r="AI129" s="1">
        <f>IFERROR(Table2[[#This Row],[Protection_CP_PIN]]*$V129,)</f>
        <v>0</v>
      </c>
      <c r="AJ129" s="1">
        <f>IFERROR(Table2[[#This Row],[Protection_GBV_PIN]]*$V129,)</f>
        <v>0</v>
      </c>
      <c r="AK129" s="1">
        <f>IFERROR(Table2[[#This Row],[Protection_MA_PIN]]*$V129,)</f>
        <v>0</v>
      </c>
      <c r="AL129" s="1">
        <f>IFERROR(Table2[[#This Row],[Health_PIN]]*$W129,)</f>
        <v>0</v>
      </c>
      <c r="AM129" s="1">
        <f>IFERROR(Table2[[#This Row],[CCCM_PIN]]*$W129,)</f>
        <v>0</v>
      </c>
      <c r="AN129" s="1">
        <f>IFERROR(Table2[[#This Row],[ERL_PIN]]*$W129,)</f>
        <v>0</v>
      </c>
      <c r="AO129" s="1">
        <f>IFERROR(Table2[[#This Row],[NFI_PIN]]*$W129,)</f>
        <v>0</v>
      </c>
      <c r="AP129" s="1">
        <f>IFERROR(Table2[[#This Row],[Nutrition_PIN]]*$W129,)</f>
        <v>0</v>
      </c>
      <c r="AQ129" s="1">
        <f>IFERROR(Table2[[#This Row],[Education_PIN]]*$W129,)</f>
        <v>0</v>
      </c>
      <c r="AR129" s="1">
        <f>IFERROR(Table2[[#This Row],[Shelter_PIN]]*$W129,)</f>
        <v>0</v>
      </c>
      <c r="AS129" s="1">
        <f>IFERROR(Table2[[#This Row],[WASH_PIN]]*$W129,)</f>
        <v>0</v>
      </c>
      <c r="AT129" s="1">
        <f>IFERROR(Table2[[#This Row],[WASH_acute_PIN]]*$W129,)</f>
        <v>0</v>
      </c>
      <c r="AU129" s="1">
        <f>IFERROR(Table2[[#This Row],[Protection_PIN]]*$W129,)</f>
        <v>0</v>
      </c>
      <c r="AV129" s="1">
        <f>IFERROR(Table2[[#This Row],[Food_PIN]]*$W129,)</f>
        <v>0</v>
      </c>
      <c r="AW129" s="1">
        <f>IFERROR(Table2[[#This Row],[Protection_CP_PIN]]*$W129,)</f>
        <v>0</v>
      </c>
      <c r="AX129" s="1">
        <f>IFERROR(Table2[[#This Row],[Protection_GBV_PIN]]*$W129,)</f>
        <v>0</v>
      </c>
      <c r="AY129" s="1">
        <f>IFERROR(Table2[[#This Row],[Protection_MA_PIN]]*$W129,)</f>
        <v>0</v>
      </c>
      <c r="AZ129" s="1">
        <v>3</v>
      </c>
      <c r="BA129" s="1">
        <v>3</v>
      </c>
      <c r="BB129" s="1">
        <v>4</v>
      </c>
      <c r="BC129" s="1">
        <v>3</v>
      </c>
      <c r="BD129" s="1">
        <v>3</v>
      </c>
      <c r="BE129" s="1">
        <v>5</v>
      </c>
      <c r="BF129" s="1">
        <v>3</v>
      </c>
      <c r="BG129" s="1">
        <v>3</v>
      </c>
      <c r="BH129" s="1">
        <v>4</v>
      </c>
      <c r="BI129" s="1">
        <v>3</v>
      </c>
      <c r="BJ129" s="1">
        <v>4</v>
      </c>
      <c r="BK129" s="1" t="s">
        <v>665</v>
      </c>
      <c r="BL129" s="1">
        <v>4</v>
      </c>
    </row>
    <row r="130" spans="1:64" x14ac:dyDescent="0.35">
      <c r="A130" t="s">
        <v>184</v>
      </c>
      <c r="B130" t="s">
        <v>730</v>
      </c>
      <c r="C130" t="s">
        <v>185</v>
      </c>
      <c r="D130" t="s">
        <v>280</v>
      </c>
      <c r="E130" t="s">
        <v>813</v>
      </c>
      <c r="F130" t="s">
        <v>422</v>
      </c>
      <c r="G130" t="s">
        <v>280</v>
      </c>
      <c r="H130" s="1">
        <v>260448</v>
      </c>
      <c r="I130" s="1" t="s">
        <v>665</v>
      </c>
      <c r="J130" s="1">
        <v>305114</v>
      </c>
      <c r="K130" s="1">
        <v>69817</v>
      </c>
      <c r="L130" s="1">
        <v>107820.93833024704</v>
      </c>
      <c r="M130" s="1">
        <v>135016.88333333333</v>
      </c>
      <c r="N130" s="1">
        <v>70264</v>
      </c>
      <c r="O130" s="1">
        <v>343828.03371836263</v>
      </c>
      <c r="P130" s="1">
        <v>167899</v>
      </c>
      <c r="Q130" s="1">
        <v>173632</v>
      </c>
      <c r="R130" s="1">
        <v>182582.10309278354</v>
      </c>
      <c r="S130" s="1">
        <v>79284.800000000003</v>
      </c>
      <c r="T130" s="1">
        <v>153798</v>
      </c>
      <c r="U130" s="1">
        <v>890</v>
      </c>
      <c r="V130" s="3">
        <f>_xlfn.XLOOKUP(Table2[[#This Row],[admin3Pcode]],'Inter-sector dataset'!F:F,'Inter-sector dataset'!Q:Q)</f>
        <v>0</v>
      </c>
      <c r="W130" s="3">
        <f>_xlfn.XLOOKUP(Table2[[#This Row],[admin3Pcode]],'Inter-sector dataset'!F:F,'Inter-sector dataset'!R:R)</f>
        <v>0</v>
      </c>
      <c r="X130" s="1">
        <f>IFERROR(Table2[[#This Row],[Health_PIN]]*$V130,)</f>
        <v>0</v>
      </c>
      <c r="Y130" s="1">
        <f>IFERROR(Table2[[#This Row],[CCCM_PIN]]*$V130,)</f>
        <v>0</v>
      </c>
      <c r="Z130" s="1">
        <f>IFERROR(Table2[[#This Row],[ERL_PIN]]*$V130,)</f>
        <v>0</v>
      </c>
      <c r="AA130" s="1">
        <f>IFERROR(Table2[[#This Row],[NFI_PIN]]*$V130,)</f>
        <v>0</v>
      </c>
      <c r="AB130" s="1">
        <f>IFERROR(Table2[[#This Row],[Nutrition_PIN]]*$V130,)</f>
        <v>0</v>
      </c>
      <c r="AC130" s="1">
        <f>IFERROR(Table2[[#This Row],[Education_PIN]]*$V130,)</f>
        <v>0</v>
      </c>
      <c r="AD130" s="1">
        <f>IFERROR(Table2[[#This Row],[Shelter_PIN]]*$V130,)</f>
        <v>0</v>
      </c>
      <c r="AE130" s="1">
        <f>IFERROR(Table2[[#This Row],[WASH_PIN]]*$V130,)</f>
        <v>0</v>
      </c>
      <c r="AF130" s="1">
        <f>IFERROR(Table2[[#This Row],[WASH_acute_PIN]]*$V130,)</f>
        <v>0</v>
      </c>
      <c r="AG130" s="1">
        <f>IFERROR(Table2[[#This Row],[Protection_PIN]]*$V130,)</f>
        <v>0</v>
      </c>
      <c r="AH130" s="1">
        <f>IFERROR(Table2[[#This Row],[Food_PIN]]*$V130,)</f>
        <v>0</v>
      </c>
      <c r="AI130" s="1">
        <f>IFERROR(Table2[[#This Row],[Protection_CP_PIN]]*$V130,)</f>
        <v>0</v>
      </c>
      <c r="AJ130" s="1">
        <f>IFERROR(Table2[[#This Row],[Protection_GBV_PIN]]*$V130,)</f>
        <v>0</v>
      </c>
      <c r="AK130" s="1">
        <f>IFERROR(Table2[[#This Row],[Protection_MA_PIN]]*$V130,)</f>
        <v>0</v>
      </c>
      <c r="AL130" s="1">
        <f>IFERROR(Table2[[#This Row],[Health_PIN]]*$W130,)</f>
        <v>0</v>
      </c>
      <c r="AM130" s="1">
        <f>IFERROR(Table2[[#This Row],[CCCM_PIN]]*$W130,)</f>
        <v>0</v>
      </c>
      <c r="AN130" s="1">
        <f>IFERROR(Table2[[#This Row],[ERL_PIN]]*$W130,)</f>
        <v>0</v>
      </c>
      <c r="AO130" s="1">
        <f>IFERROR(Table2[[#This Row],[NFI_PIN]]*$W130,)</f>
        <v>0</v>
      </c>
      <c r="AP130" s="1">
        <f>IFERROR(Table2[[#This Row],[Nutrition_PIN]]*$W130,)</f>
        <v>0</v>
      </c>
      <c r="AQ130" s="1">
        <f>IFERROR(Table2[[#This Row],[Education_PIN]]*$W130,)</f>
        <v>0</v>
      </c>
      <c r="AR130" s="1">
        <f>IFERROR(Table2[[#This Row],[Shelter_PIN]]*$W130,)</f>
        <v>0</v>
      </c>
      <c r="AS130" s="1">
        <f>IFERROR(Table2[[#This Row],[WASH_PIN]]*$W130,)</f>
        <v>0</v>
      </c>
      <c r="AT130" s="1">
        <f>IFERROR(Table2[[#This Row],[WASH_acute_PIN]]*$W130,)</f>
        <v>0</v>
      </c>
      <c r="AU130" s="1">
        <f>IFERROR(Table2[[#This Row],[Protection_PIN]]*$W130,)</f>
        <v>0</v>
      </c>
      <c r="AV130" s="1">
        <f>IFERROR(Table2[[#This Row],[Food_PIN]]*$W130,)</f>
        <v>0</v>
      </c>
      <c r="AW130" s="1">
        <f>IFERROR(Table2[[#This Row],[Protection_CP_PIN]]*$W130,)</f>
        <v>0</v>
      </c>
      <c r="AX130" s="1">
        <f>IFERROR(Table2[[#This Row],[Protection_GBV_PIN]]*$W130,)</f>
        <v>0</v>
      </c>
      <c r="AY130" s="1">
        <f>IFERROR(Table2[[#This Row],[Protection_MA_PIN]]*$W130,)</f>
        <v>0</v>
      </c>
      <c r="AZ130" s="1">
        <v>3</v>
      </c>
      <c r="BA130" s="1">
        <v>3</v>
      </c>
      <c r="BB130" s="1">
        <v>4</v>
      </c>
      <c r="BC130" s="1">
        <v>3</v>
      </c>
      <c r="BD130" s="1">
        <v>3</v>
      </c>
      <c r="BE130" s="1">
        <v>4</v>
      </c>
      <c r="BF130" s="1">
        <v>3</v>
      </c>
      <c r="BG130" s="1">
        <v>3</v>
      </c>
      <c r="BH130" s="1">
        <v>4</v>
      </c>
      <c r="BI130" s="1">
        <v>3</v>
      </c>
      <c r="BJ130" s="1">
        <v>4</v>
      </c>
      <c r="BK130" s="1" t="s">
        <v>665</v>
      </c>
      <c r="BL130" s="1">
        <v>4</v>
      </c>
    </row>
    <row r="131" spans="1:64" x14ac:dyDescent="0.35">
      <c r="A131" t="s">
        <v>17</v>
      </c>
      <c r="B131" t="s">
        <v>663</v>
      </c>
      <c r="C131" t="s">
        <v>18</v>
      </c>
      <c r="D131" t="s">
        <v>17</v>
      </c>
      <c r="E131" t="s">
        <v>814</v>
      </c>
      <c r="F131" t="s">
        <v>167</v>
      </c>
      <c r="G131" t="s">
        <v>17</v>
      </c>
      <c r="H131" s="1">
        <v>317515</v>
      </c>
      <c r="I131" s="1" t="s">
        <v>665</v>
      </c>
      <c r="J131" s="1">
        <v>549737</v>
      </c>
      <c r="K131" s="1">
        <v>118109</v>
      </c>
      <c r="L131" s="1">
        <v>118783.74981547247</v>
      </c>
      <c r="M131" s="1">
        <v>209039.71666666667</v>
      </c>
      <c r="N131" s="1">
        <v>178021</v>
      </c>
      <c r="O131" s="1">
        <v>47670.826594749342</v>
      </c>
      <c r="P131" s="1">
        <v>0</v>
      </c>
      <c r="Q131" s="1">
        <v>317515</v>
      </c>
      <c r="R131" s="1">
        <v>417632.34234234237</v>
      </c>
      <c r="S131" s="1">
        <v>149957.4</v>
      </c>
      <c r="T131" s="1">
        <v>107102</v>
      </c>
      <c r="U131" s="1">
        <v>34322</v>
      </c>
      <c r="V131" s="3">
        <f>_xlfn.XLOOKUP(Table2[[#This Row],[admin3Pcode]],'Inter-sector dataset'!F:F,'Inter-sector dataset'!Q:Q)</f>
        <v>0</v>
      </c>
      <c r="W131" s="3">
        <f>_xlfn.XLOOKUP(Table2[[#This Row],[admin3Pcode]],'Inter-sector dataset'!F:F,'Inter-sector dataset'!R:R)</f>
        <v>0</v>
      </c>
      <c r="X131" s="1">
        <f>IFERROR(Table2[[#This Row],[Health_PIN]]*$V131,)</f>
        <v>0</v>
      </c>
      <c r="Y131" s="1">
        <f>IFERROR(Table2[[#This Row],[CCCM_PIN]]*$V131,)</f>
        <v>0</v>
      </c>
      <c r="Z131" s="1">
        <f>IFERROR(Table2[[#This Row],[ERL_PIN]]*$V131,)</f>
        <v>0</v>
      </c>
      <c r="AA131" s="1">
        <f>IFERROR(Table2[[#This Row],[NFI_PIN]]*$V131,)</f>
        <v>0</v>
      </c>
      <c r="AB131" s="1">
        <f>IFERROR(Table2[[#This Row],[Nutrition_PIN]]*$V131,)</f>
        <v>0</v>
      </c>
      <c r="AC131" s="1">
        <f>IFERROR(Table2[[#This Row],[Education_PIN]]*$V131,)</f>
        <v>0</v>
      </c>
      <c r="AD131" s="1">
        <f>IFERROR(Table2[[#This Row],[Shelter_PIN]]*$V131,)</f>
        <v>0</v>
      </c>
      <c r="AE131" s="1">
        <f>IFERROR(Table2[[#This Row],[WASH_PIN]]*$V131,)</f>
        <v>0</v>
      </c>
      <c r="AF131" s="1">
        <f>IFERROR(Table2[[#This Row],[WASH_acute_PIN]]*$V131,)</f>
        <v>0</v>
      </c>
      <c r="AG131" s="1">
        <f>IFERROR(Table2[[#This Row],[Protection_PIN]]*$V131,)</f>
        <v>0</v>
      </c>
      <c r="AH131" s="1">
        <f>IFERROR(Table2[[#This Row],[Food_PIN]]*$V131,)</f>
        <v>0</v>
      </c>
      <c r="AI131" s="1">
        <f>IFERROR(Table2[[#This Row],[Protection_CP_PIN]]*$V131,)</f>
        <v>0</v>
      </c>
      <c r="AJ131" s="1">
        <f>IFERROR(Table2[[#This Row],[Protection_GBV_PIN]]*$V131,)</f>
        <v>0</v>
      </c>
      <c r="AK131" s="1">
        <f>IFERROR(Table2[[#This Row],[Protection_MA_PIN]]*$V131,)</f>
        <v>0</v>
      </c>
      <c r="AL131" s="1">
        <f>IFERROR(Table2[[#This Row],[Health_PIN]]*$W131,)</f>
        <v>0</v>
      </c>
      <c r="AM131" s="1">
        <f>IFERROR(Table2[[#This Row],[CCCM_PIN]]*$W131,)</f>
        <v>0</v>
      </c>
      <c r="AN131" s="1">
        <f>IFERROR(Table2[[#This Row],[ERL_PIN]]*$W131,)</f>
        <v>0</v>
      </c>
      <c r="AO131" s="1">
        <f>IFERROR(Table2[[#This Row],[NFI_PIN]]*$W131,)</f>
        <v>0</v>
      </c>
      <c r="AP131" s="1">
        <f>IFERROR(Table2[[#This Row],[Nutrition_PIN]]*$W131,)</f>
        <v>0</v>
      </c>
      <c r="AQ131" s="1">
        <f>IFERROR(Table2[[#This Row],[Education_PIN]]*$W131,)</f>
        <v>0</v>
      </c>
      <c r="AR131" s="1">
        <f>IFERROR(Table2[[#This Row],[Shelter_PIN]]*$W131,)</f>
        <v>0</v>
      </c>
      <c r="AS131" s="1">
        <f>IFERROR(Table2[[#This Row],[WASH_PIN]]*$W131,)</f>
        <v>0</v>
      </c>
      <c r="AT131" s="1">
        <f>IFERROR(Table2[[#This Row],[WASH_acute_PIN]]*$W131,)</f>
        <v>0</v>
      </c>
      <c r="AU131" s="1">
        <f>IFERROR(Table2[[#This Row],[Protection_PIN]]*$W131,)</f>
        <v>0</v>
      </c>
      <c r="AV131" s="1">
        <f>IFERROR(Table2[[#This Row],[Food_PIN]]*$W131,)</f>
        <v>0</v>
      </c>
      <c r="AW131" s="1">
        <f>IFERROR(Table2[[#This Row],[Protection_CP_PIN]]*$W131,)</f>
        <v>0</v>
      </c>
      <c r="AX131" s="1">
        <f>IFERROR(Table2[[#This Row],[Protection_GBV_PIN]]*$W131,)</f>
        <v>0</v>
      </c>
      <c r="AY131" s="1">
        <f>IFERROR(Table2[[#This Row],[Protection_MA_PIN]]*$W131,)</f>
        <v>0</v>
      </c>
      <c r="AZ131" s="1">
        <v>3</v>
      </c>
      <c r="BA131" s="1">
        <v>3</v>
      </c>
      <c r="BB131" s="1">
        <v>4</v>
      </c>
      <c r="BC131" s="1">
        <v>3</v>
      </c>
      <c r="BD131" s="1">
        <v>3</v>
      </c>
      <c r="BE131" s="1">
        <v>3</v>
      </c>
      <c r="BF131" s="1">
        <v>3</v>
      </c>
      <c r="BG131" s="1">
        <v>4</v>
      </c>
      <c r="BH131" s="1">
        <v>2</v>
      </c>
      <c r="BI131" s="1">
        <v>3</v>
      </c>
      <c r="BJ131" s="1">
        <v>3</v>
      </c>
      <c r="BK131" s="1" t="s">
        <v>665</v>
      </c>
      <c r="BL131" s="1">
        <v>2</v>
      </c>
    </row>
    <row r="132" spans="1:64" x14ac:dyDescent="0.35">
      <c r="A132" t="s">
        <v>168</v>
      </c>
      <c r="B132" t="s">
        <v>681</v>
      </c>
      <c r="C132" t="s">
        <v>169</v>
      </c>
      <c r="D132" t="s">
        <v>168</v>
      </c>
      <c r="E132" t="s">
        <v>815</v>
      </c>
      <c r="F132" t="s">
        <v>322</v>
      </c>
      <c r="G132" t="s">
        <v>168</v>
      </c>
      <c r="H132" s="1">
        <v>562849.5</v>
      </c>
      <c r="I132" s="1" t="s">
        <v>665</v>
      </c>
      <c r="J132" s="1">
        <v>434602</v>
      </c>
      <c r="K132" s="1">
        <v>127989</v>
      </c>
      <c r="L132" s="1">
        <v>191796.97762979113</v>
      </c>
      <c r="M132" s="1">
        <v>292057.19999999995</v>
      </c>
      <c r="N132" s="1">
        <v>127989</v>
      </c>
      <c r="O132" s="1">
        <v>24593.855190326067</v>
      </c>
      <c r="P132" s="1">
        <v>0</v>
      </c>
      <c r="Q132" s="1">
        <v>375233</v>
      </c>
      <c r="R132" s="1">
        <v>592355.95252225525</v>
      </c>
      <c r="S132" s="1">
        <v>154676.40000000002</v>
      </c>
      <c r="T132" s="1">
        <v>199830</v>
      </c>
      <c r="U132" s="1">
        <v>61669</v>
      </c>
      <c r="V132" s="3">
        <f>_xlfn.XLOOKUP(Table2[[#This Row],[admin3Pcode]],'Inter-sector dataset'!F:F,'Inter-sector dataset'!Q:Q)</f>
        <v>0</v>
      </c>
      <c r="W132" s="3">
        <f>_xlfn.XLOOKUP(Table2[[#This Row],[admin3Pcode]],'Inter-sector dataset'!F:F,'Inter-sector dataset'!R:R)</f>
        <v>0</v>
      </c>
      <c r="X132" s="1">
        <f>IFERROR(Table2[[#This Row],[Health_PIN]]*$V132,)</f>
        <v>0</v>
      </c>
      <c r="Y132" s="1">
        <f>IFERROR(Table2[[#This Row],[CCCM_PIN]]*$V132,)</f>
        <v>0</v>
      </c>
      <c r="Z132" s="1">
        <f>IFERROR(Table2[[#This Row],[ERL_PIN]]*$V132,)</f>
        <v>0</v>
      </c>
      <c r="AA132" s="1">
        <f>IFERROR(Table2[[#This Row],[NFI_PIN]]*$V132,)</f>
        <v>0</v>
      </c>
      <c r="AB132" s="1">
        <f>IFERROR(Table2[[#This Row],[Nutrition_PIN]]*$V132,)</f>
        <v>0</v>
      </c>
      <c r="AC132" s="1">
        <f>IFERROR(Table2[[#This Row],[Education_PIN]]*$V132,)</f>
        <v>0</v>
      </c>
      <c r="AD132" s="1">
        <f>IFERROR(Table2[[#This Row],[Shelter_PIN]]*$V132,)</f>
        <v>0</v>
      </c>
      <c r="AE132" s="1">
        <f>IFERROR(Table2[[#This Row],[WASH_PIN]]*$V132,)</f>
        <v>0</v>
      </c>
      <c r="AF132" s="1">
        <f>IFERROR(Table2[[#This Row],[WASH_acute_PIN]]*$V132,)</f>
        <v>0</v>
      </c>
      <c r="AG132" s="1">
        <f>IFERROR(Table2[[#This Row],[Protection_PIN]]*$V132,)</f>
        <v>0</v>
      </c>
      <c r="AH132" s="1">
        <f>IFERROR(Table2[[#This Row],[Food_PIN]]*$V132,)</f>
        <v>0</v>
      </c>
      <c r="AI132" s="1">
        <f>IFERROR(Table2[[#This Row],[Protection_CP_PIN]]*$V132,)</f>
        <v>0</v>
      </c>
      <c r="AJ132" s="1">
        <f>IFERROR(Table2[[#This Row],[Protection_GBV_PIN]]*$V132,)</f>
        <v>0</v>
      </c>
      <c r="AK132" s="1">
        <f>IFERROR(Table2[[#This Row],[Protection_MA_PIN]]*$V132,)</f>
        <v>0</v>
      </c>
      <c r="AL132" s="1">
        <f>IFERROR(Table2[[#This Row],[Health_PIN]]*$W132,)</f>
        <v>0</v>
      </c>
      <c r="AM132" s="1">
        <f>IFERROR(Table2[[#This Row],[CCCM_PIN]]*$W132,)</f>
        <v>0</v>
      </c>
      <c r="AN132" s="1">
        <f>IFERROR(Table2[[#This Row],[ERL_PIN]]*$W132,)</f>
        <v>0</v>
      </c>
      <c r="AO132" s="1">
        <f>IFERROR(Table2[[#This Row],[NFI_PIN]]*$W132,)</f>
        <v>0</v>
      </c>
      <c r="AP132" s="1">
        <f>IFERROR(Table2[[#This Row],[Nutrition_PIN]]*$W132,)</f>
        <v>0</v>
      </c>
      <c r="AQ132" s="1">
        <f>IFERROR(Table2[[#This Row],[Education_PIN]]*$W132,)</f>
        <v>0</v>
      </c>
      <c r="AR132" s="1">
        <f>IFERROR(Table2[[#This Row],[Shelter_PIN]]*$W132,)</f>
        <v>0</v>
      </c>
      <c r="AS132" s="1">
        <f>IFERROR(Table2[[#This Row],[WASH_PIN]]*$W132,)</f>
        <v>0</v>
      </c>
      <c r="AT132" s="1">
        <f>IFERROR(Table2[[#This Row],[WASH_acute_PIN]]*$W132,)</f>
        <v>0</v>
      </c>
      <c r="AU132" s="1">
        <f>IFERROR(Table2[[#This Row],[Protection_PIN]]*$W132,)</f>
        <v>0</v>
      </c>
      <c r="AV132" s="1">
        <f>IFERROR(Table2[[#This Row],[Food_PIN]]*$W132,)</f>
        <v>0</v>
      </c>
      <c r="AW132" s="1">
        <f>IFERROR(Table2[[#This Row],[Protection_CP_PIN]]*$W132,)</f>
        <v>0</v>
      </c>
      <c r="AX132" s="1">
        <f>IFERROR(Table2[[#This Row],[Protection_GBV_PIN]]*$W132,)</f>
        <v>0</v>
      </c>
      <c r="AY132" s="1">
        <f>IFERROR(Table2[[#This Row],[Protection_MA_PIN]]*$W132,)</f>
        <v>0</v>
      </c>
      <c r="AZ132" s="1">
        <v>2</v>
      </c>
      <c r="BA132" s="1">
        <v>4</v>
      </c>
      <c r="BB132" s="1">
        <v>4</v>
      </c>
      <c r="BC132" s="1">
        <v>2</v>
      </c>
      <c r="BD132" s="1">
        <v>3</v>
      </c>
      <c r="BE132" s="1">
        <v>4</v>
      </c>
      <c r="BF132" s="1">
        <v>3</v>
      </c>
      <c r="BG132" s="1">
        <v>3</v>
      </c>
      <c r="BH132" s="1">
        <v>3</v>
      </c>
      <c r="BI132" s="1">
        <v>3</v>
      </c>
      <c r="BJ132" s="1">
        <v>4</v>
      </c>
      <c r="BK132" s="1" t="s">
        <v>665</v>
      </c>
      <c r="BL132" s="1">
        <v>2</v>
      </c>
    </row>
    <row r="133" spans="1:64" x14ac:dyDescent="0.35">
      <c r="A133" t="s">
        <v>12</v>
      </c>
      <c r="B133" t="s">
        <v>673</v>
      </c>
      <c r="C133" t="s">
        <v>13</v>
      </c>
      <c r="D133" t="s">
        <v>12</v>
      </c>
      <c r="E133" t="s">
        <v>816</v>
      </c>
      <c r="F133" t="s">
        <v>152</v>
      </c>
      <c r="G133" t="s">
        <v>12</v>
      </c>
      <c r="H133" s="1">
        <v>700548</v>
      </c>
      <c r="I133" s="1" t="s">
        <v>665</v>
      </c>
      <c r="J133" s="1">
        <v>578370</v>
      </c>
      <c r="K133" s="1">
        <v>276830</v>
      </c>
      <c r="L133" s="1">
        <v>199877.86441597668</v>
      </c>
      <c r="M133" s="1">
        <v>257091.26666666666</v>
      </c>
      <c r="N133" s="1">
        <v>180035</v>
      </c>
      <c r="O133" s="1">
        <v>616162.64625754696</v>
      </c>
      <c r="P133" s="1">
        <v>57841</v>
      </c>
      <c r="Q133" s="1">
        <v>467032</v>
      </c>
      <c r="R133" s="1">
        <v>520487.46987951803</v>
      </c>
      <c r="S133" s="1">
        <v>169652.8</v>
      </c>
      <c r="T133" s="1">
        <v>261191</v>
      </c>
      <c r="U133" s="1" t="s">
        <v>665</v>
      </c>
      <c r="V133" s="3">
        <f>_xlfn.XLOOKUP(Table2[[#This Row],[admin3Pcode]],'Inter-sector dataset'!F:F,'Inter-sector dataset'!Q:Q)</f>
        <v>0</v>
      </c>
      <c r="W133" s="3">
        <f>_xlfn.XLOOKUP(Table2[[#This Row],[admin3Pcode]],'Inter-sector dataset'!F:F,'Inter-sector dataset'!R:R)</f>
        <v>0</v>
      </c>
      <c r="X133" s="1">
        <f>IFERROR(Table2[[#This Row],[Health_PIN]]*$V133,)</f>
        <v>0</v>
      </c>
      <c r="Y133" s="1">
        <f>IFERROR(Table2[[#This Row],[CCCM_PIN]]*$V133,)</f>
        <v>0</v>
      </c>
      <c r="Z133" s="1">
        <f>IFERROR(Table2[[#This Row],[ERL_PIN]]*$V133,)</f>
        <v>0</v>
      </c>
      <c r="AA133" s="1">
        <f>IFERROR(Table2[[#This Row],[NFI_PIN]]*$V133,)</f>
        <v>0</v>
      </c>
      <c r="AB133" s="1">
        <f>IFERROR(Table2[[#This Row],[Nutrition_PIN]]*$V133,)</f>
        <v>0</v>
      </c>
      <c r="AC133" s="1">
        <f>IFERROR(Table2[[#This Row],[Education_PIN]]*$V133,)</f>
        <v>0</v>
      </c>
      <c r="AD133" s="1">
        <f>IFERROR(Table2[[#This Row],[Shelter_PIN]]*$V133,)</f>
        <v>0</v>
      </c>
      <c r="AE133" s="1">
        <f>IFERROR(Table2[[#This Row],[WASH_PIN]]*$V133,)</f>
        <v>0</v>
      </c>
      <c r="AF133" s="1">
        <f>IFERROR(Table2[[#This Row],[WASH_acute_PIN]]*$V133,)</f>
        <v>0</v>
      </c>
      <c r="AG133" s="1">
        <f>IFERROR(Table2[[#This Row],[Protection_PIN]]*$V133,)</f>
        <v>0</v>
      </c>
      <c r="AH133" s="1">
        <f>IFERROR(Table2[[#This Row],[Food_PIN]]*$V133,)</f>
        <v>0</v>
      </c>
      <c r="AI133" s="1">
        <f>IFERROR(Table2[[#This Row],[Protection_CP_PIN]]*$V133,)</f>
        <v>0</v>
      </c>
      <c r="AJ133" s="1">
        <f>IFERROR(Table2[[#This Row],[Protection_GBV_PIN]]*$V133,)</f>
        <v>0</v>
      </c>
      <c r="AK133" s="1">
        <f>IFERROR(Table2[[#This Row],[Protection_MA_PIN]]*$V133,)</f>
        <v>0</v>
      </c>
      <c r="AL133" s="1">
        <f>IFERROR(Table2[[#This Row],[Health_PIN]]*$W133,)</f>
        <v>0</v>
      </c>
      <c r="AM133" s="1">
        <f>IFERROR(Table2[[#This Row],[CCCM_PIN]]*$W133,)</f>
        <v>0</v>
      </c>
      <c r="AN133" s="1">
        <f>IFERROR(Table2[[#This Row],[ERL_PIN]]*$W133,)</f>
        <v>0</v>
      </c>
      <c r="AO133" s="1">
        <f>IFERROR(Table2[[#This Row],[NFI_PIN]]*$W133,)</f>
        <v>0</v>
      </c>
      <c r="AP133" s="1">
        <f>IFERROR(Table2[[#This Row],[Nutrition_PIN]]*$W133,)</f>
        <v>0</v>
      </c>
      <c r="AQ133" s="1">
        <f>IFERROR(Table2[[#This Row],[Education_PIN]]*$W133,)</f>
        <v>0</v>
      </c>
      <c r="AR133" s="1">
        <f>IFERROR(Table2[[#This Row],[Shelter_PIN]]*$W133,)</f>
        <v>0</v>
      </c>
      <c r="AS133" s="1">
        <f>IFERROR(Table2[[#This Row],[WASH_PIN]]*$W133,)</f>
        <v>0</v>
      </c>
      <c r="AT133" s="1">
        <f>IFERROR(Table2[[#This Row],[WASH_acute_PIN]]*$W133,)</f>
        <v>0</v>
      </c>
      <c r="AU133" s="1">
        <f>IFERROR(Table2[[#This Row],[Protection_PIN]]*$W133,)</f>
        <v>0</v>
      </c>
      <c r="AV133" s="1">
        <f>IFERROR(Table2[[#This Row],[Food_PIN]]*$W133,)</f>
        <v>0</v>
      </c>
      <c r="AW133" s="1">
        <f>IFERROR(Table2[[#This Row],[Protection_CP_PIN]]*$W133,)</f>
        <v>0</v>
      </c>
      <c r="AX133" s="1">
        <f>IFERROR(Table2[[#This Row],[Protection_GBV_PIN]]*$W133,)</f>
        <v>0</v>
      </c>
      <c r="AY133" s="1">
        <f>IFERROR(Table2[[#This Row],[Protection_MA_PIN]]*$W133,)</f>
        <v>0</v>
      </c>
      <c r="AZ133" s="1">
        <v>2</v>
      </c>
      <c r="BA133" s="1">
        <v>3</v>
      </c>
      <c r="BB133" s="1">
        <v>4</v>
      </c>
      <c r="BC133" s="1">
        <v>3</v>
      </c>
      <c r="BD133" s="1">
        <v>3</v>
      </c>
      <c r="BE133" s="1">
        <v>4</v>
      </c>
      <c r="BF133" s="1">
        <v>3</v>
      </c>
      <c r="BG133" s="1">
        <v>3</v>
      </c>
      <c r="BH133" s="1">
        <v>3</v>
      </c>
      <c r="BI133" s="1">
        <v>3</v>
      </c>
      <c r="BJ133" s="1">
        <v>3</v>
      </c>
      <c r="BK133" s="1" t="s">
        <v>665</v>
      </c>
      <c r="BL133" s="1">
        <v>3</v>
      </c>
    </row>
    <row r="134" spans="1:64" x14ac:dyDescent="0.35">
      <c r="A134" t="s">
        <v>54</v>
      </c>
      <c r="B134" t="s">
        <v>709</v>
      </c>
      <c r="C134" t="s">
        <v>55</v>
      </c>
      <c r="D134" t="s">
        <v>148</v>
      </c>
      <c r="E134" t="s">
        <v>817</v>
      </c>
      <c r="F134" t="s">
        <v>150</v>
      </c>
      <c r="G134" t="s">
        <v>148</v>
      </c>
      <c r="H134" s="1">
        <v>833859.5</v>
      </c>
      <c r="I134" s="1" t="s">
        <v>665</v>
      </c>
      <c r="J134" s="1">
        <v>859852</v>
      </c>
      <c r="K134" s="1">
        <v>500712</v>
      </c>
      <c r="L134" s="1">
        <v>416421.36375156033</v>
      </c>
      <c r="M134" s="1">
        <v>101778.15441838978</v>
      </c>
      <c r="N134" s="1">
        <v>335399</v>
      </c>
      <c r="O134" s="1">
        <v>326934.4669260318</v>
      </c>
      <c r="P134" s="1">
        <v>16608</v>
      </c>
      <c r="Q134" s="1">
        <v>1334175</v>
      </c>
      <c r="R134" s="1">
        <v>1227731.4850407979</v>
      </c>
      <c r="S134" s="1">
        <v>349609.19999999995</v>
      </c>
      <c r="T134" s="1">
        <v>756647</v>
      </c>
      <c r="U134" s="1">
        <v>22796</v>
      </c>
      <c r="V134" s="3">
        <f>_xlfn.XLOOKUP(Table2[[#This Row],[admin3Pcode]],'Inter-sector dataset'!F:F,'Inter-sector dataset'!Q:Q)</f>
        <v>0</v>
      </c>
      <c r="W134" s="3">
        <f>_xlfn.XLOOKUP(Table2[[#This Row],[admin3Pcode]],'Inter-sector dataset'!F:F,'Inter-sector dataset'!R:R)</f>
        <v>0</v>
      </c>
      <c r="X134" s="1">
        <f>IFERROR(Table2[[#This Row],[Health_PIN]]*$V134,)</f>
        <v>0</v>
      </c>
      <c r="Y134" s="1">
        <f>IFERROR(Table2[[#This Row],[CCCM_PIN]]*$V134,)</f>
        <v>0</v>
      </c>
      <c r="Z134" s="1">
        <f>IFERROR(Table2[[#This Row],[ERL_PIN]]*$V134,)</f>
        <v>0</v>
      </c>
      <c r="AA134" s="1">
        <f>IFERROR(Table2[[#This Row],[NFI_PIN]]*$V134,)</f>
        <v>0</v>
      </c>
      <c r="AB134" s="1">
        <f>IFERROR(Table2[[#This Row],[Nutrition_PIN]]*$V134,)</f>
        <v>0</v>
      </c>
      <c r="AC134" s="1">
        <f>IFERROR(Table2[[#This Row],[Education_PIN]]*$V134,)</f>
        <v>0</v>
      </c>
      <c r="AD134" s="1">
        <f>IFERROR(Table2[[#This Row],[Shelter_PIN]]*$V134,)</f>
        <v>0</v>
      </c>
      <c r="AE134" s="1">
        <f>IFERROR(Table2[[#This Row],[WASH_PIN]]*$V134,)</f>
        <v>0</v>
      </c>
      <c r="AF134" s="1">
        <f>IFERROR(Table2[[#This Row],[WASH_acute_PIN]]*$V134,)</f>
        <v>0</v>
      </c>
      <c r="AG134" s="1">
        <f>IFERROR(Table2[[#This Row],[Protection_PIN]]*$V134,)</f>
        <v>0</v>
      </c>
      <c r="AH134" s="1">
        <f>IFERROR(Table2[[#This Row],[Food_PIN]]*$V134,)</f>
        <v>0</v>
      </c>
      <c r="AI134" s="1">
        <f>IFERROR(Table2[[#This Row],[Protection_CP_PIN]]*$V134,)</f>
        <v>0</v>
      </c>
      <c r="AJ134" s="1">
        <f>IFERROR(Table2[[#This Row],[Protection_GBV_PIN]]*$V134,)</f>
        <v>0</v>
      </c>
      <c r="AK134" s="1">
        <f>IFERROR(Table2[[#This Row],[Protection_MA_PIN]]*$V134,)</f>
        <v>0</v>
      </c>
      <c r="AL134" s="1">
        <f>IFERROR(Table2[[#This Row],[Health_PIN]]*$W134,)</f>
        <v>0</v>
      </c>
      <c r="AM134" s="1">
        <f>IFERROR(Table2[[#This Row],[CCCM_PIN]]*$W134,)</f>
        <v>0</v>
      </c>
      <c r="AN134" s="1">
        <f>IFERROR(Table2[[#This Row],[ERL_PIN]]*$W134,)</f>
        <v>0</v>
      </c>
      <c r="AO134" s="1">
        <f>IFERROR(Table2[[#This Row],[NFI_PIN]]*$W134,)</f>
        <v>0</v>
      </c>
      <c r="AP134" s="1">
        <f>IFERROR(Table2[[#This Row],[Nutrition_PIN]]*$W134,)</f>
        <v>0</v>
      </c>
      <c r="AQ134" s="1">
        <f>IFERROR(Table2[[#This Row],[Education_PIN]]*$W134,)</f>
        <v>0</v>
      </c>
      <c r="AR134" s="1">
        <f>IFERROR(Table2[[#This Row],[Shelter_PIN]]*$W134,)</f>
        <v>0</v>
      </c>
      <c r="AS134" s="1">
        <f>IFERROR(Table2[[#This Row],[WASH_PIN]]*$W134,)</f>
        <v>0</v>
      </c>
      <c r="AT134" s="1">
        <f>IFERROR(Table2[[#This Row],[WASH_acute_PIN]]*$W134,)</f>
        <v>0</v>
      </c>
      <c r="AU134" s="1">
        <f>IFERROR(Table2[[#This Row],[Protection_PIN]]*$W134,)</f>
        <v>0</v>
      </c>
      <c r="AV134" s="1">
        <f>IFERROR(Table2[[#This Row],[Food_PIN]]*$W134,)</f>
        <v>0</v>
      </c>
      <c r="AW134" s="1">
        <f>IFERROR(Table2[[#This Row],[Protection_CP_PIN]]*$W134,)</f>
        <v>0</v>
      </c>
      <c r="AX134" s="1">
        <f>IFERROR(Table2[[#This Row],[Protection_GBV_PIN]]*$W134,)</f>
        <v>0</v>
      </c>
      <c r="AY134" s="1">
        <f>IFERROR(Table2[[#This Row],[Protection_MA_PIN]]*$W134,)</f>
        <v>0</v>
      </c>
      <c r="AZ134" s="1">
        <v>4</v>
      </c>
      <c r="BA134" s="1">
        <v>3</v>
      </c>
      <c r="BB134" s="1">
        <v>3</v>
      </c>
      <c r="BC134" s="1">
        <v>4</v>
      </c>
      <c r="BD134" s="1">
        <v>3</v>
      </c>
      <c r="BE134" s="1">
        <v>3</v>
      </c>
      <c r="BF134" s="1">
        <v>4</v>
      </c>
      <c r="BG134" s="1">
        <v>4</v>
      </c>
      <c r="BH134" s="1">
        <v>4</v>
      </c>
      <c r="BI134" s="1">
        <v>4</v>
      </c>
      <c r="BJ134" s="1">
        <v>4</v>
      </c>
      <c r="BK134" s="1" t="s">
        <v>665</v>
      </c>
      <c r="BL134" s="1">
        <v>2</v>
      </c>
    </row>
    <row r="135" spans="1:64" x14ac:dyDescent="0.35">
      <c r="A135" t="s">
        <v>12</v>
      </c>
      <c r="B135" t="s">
        <v>673</v>
      </c>
      <c r="C135" t="s">
        <v>13</v>
      </c>
      <c r="D135" t="s">
        <v>624</v>
      </c>
      <c r="E135" t="s">
        <v>818</v>
      </c>
      <c r="F135" t="s">
        <v>625</v>
      </c>
      <c r="G135" t="s">
        <v>819</v>
      </c>
      <c r="H135" s="1">
        <v>201</v>
      </c>
      <c r="I135" s="1" t="s">
        <v>665</v>
      </c>
      <c r="J135" s="1">
        <v>0</v>
      </c>
      <c r="K135" s="1">
        <v>0</v>
      </c>
      <c r="L135" s="1">
        <v>32.160000000000004</v>
      </c>
      <c r="M135" s="1" t="s">
        <v>665</v>
      </c>
      <c r="N135" s="1">
        <v>70</v>
      </c>
      <c r="O135" s="1">
        <v>0</v>
      </c>
      <c r="P135" s="1">
        <v>0</v>
      </c>
      <c r="Q135" s="1">
        <v>322</v>
      </c>
      <c r="R135" s="1">
        <v>219.61111111111114</v>
      </c>
      <c r="S135" s="1">
        <v>32.6</v>
      </c>
      <c r="T135" s="1">
        <v>0</v>
      </c>
      <c r="U135" s="1">
        <v>0</v>
      </c>
      <c r="V135" s="3">
        <f>_xlfn.XLOOKUP(Table2[[#This Row],[admin3Pcode]],'Inter-sector dataset'!F:F,'Inter-sector dataset'!Q:Q)</f>
        <v>0.37</v>
      </c>
      <c r="W135" s="3">
        <f>_xlfn.XLOOKUP(Table2[[#This Row],[admin3Pcode]],'Inter-sector dataset'!F:F,'Inter-sector dataset'!R:R)</f>
        <v>0</v>
      </c>
      <c r="X135" s="1">
        <f>IFERROR(Table2[[#This Row],[Health_PIN]]*$V135,)</f>
        <v>74.37</v>
      </c>
      <c r="Y135" s="1">
        <f>IFERROR(Table2[[#This Row],[CCCM_PIN]]*$V135,)</f>
        <v>0</v>
      </c>
      <c r="Z135" s="1">
        <f>IFERROR(Table2[[#This Row],[ERL_PIN]]*$V135,)</f>
        <v>0</v>
      </c>
      <c r="AA135" s="1">
        <f>IFERROR(Table2[[#This Row],[NFI_PIN]]*$V135,)</f>
        <v>0</v>
      </c>
      <c r="AB135" s="1">
        <f>IFERROR(Table2[[#This Row],[Nutrition_PIN]]*$V135,)</f>
        <v>11.8992</v>
      </c>
      <c r="AC135" s="1">
        <f>IFERROR(Table2[[#This Row],[Education_PIN]]*$V135,)</f>
        <v>0</v>
      </c>
      <c r="AD135" s="1">
        <f>IFERROR(Table2[[#This Row],[Shelter_PIN]]*$V135,)</f>
        <v>25.9</v>
      </c>
      <c r="AE135" s="1">
        <f>IFERROR(Table2[[#This Row],[WASH_PIN]]*$V135,)</f>
        <v>0</v>
      </c>
      <c r="AF135" s="1">
        <f>IFERROR(Table2[[#This Row],[WASH_acute_PIN]]*$V135,)</f>
        <v>0</v>
      </c>
      <c r="AG135" s="1">
        <f>IFERROR(Table2[[#This Row],[Protection_PIN]]*$V135,)</f>
        <v>119.14</v>
      </c>
      <c r="AH135" s="1">
        <f>IFERROR(Table2[[#This Row],[Food_PIN]]*$V135,)</f>
        <v>81.256111111111125</v>
      </c>
      <c r="AI135" s="1">
        <f>IFERROR(Table2[[#This Row],[Protection_CP_PIN]]*$V135,)</f>
        <v>12.062000000000001</v>
      </c>
      <c r="AJ135" s="1">
        <f>IFERROR(Table2[[#This Row],[Protection_GBV_PIN]]*$V135,)</f>
        <v>0</v>
      </c>
      <c r="AK135" s="1">
        <f>IFERROR(Table2[[#This Row],[Protection_MA_PIN]]*$V135,)</f>
        <v>0</v>
      </c>
      <c r="AL135" s="1">
        <f>IFERROR(Table2[[#This Row],[Health_PIN]]*$W135,)</f>
        <v>0</v>
      </c>
      <c r="AM135" s="1">
        <f>IFERROR(Table2[[#This Row],[CCCM_PIN]]*$W135,)</f>
        <v>0</v>
      </c>
      <c r="AN135" s="1">
        <f>IFERROR(Table2[[#This Row],[ERL_PIN]]*$W135,)</f>
        <v>0</v>
      </c>
      <c r="AO135" s="1">
        <f>IFERROR(Table2[[#This Row],[NFI_PIN]]*$W135,)</f>
        <v>0</v>
      </c>
      <c r="AP135" s="1">
        <f>IFERROR(Table2[[#This Row],[Nutrition_PIN]]*$W135,)</f>
        <v>0</v>
      </c>
      <c r="AQ135" s="1">
        <f>IFERROR(Table2[[#This Row],[Education_PIN]]*$W135,)</f>
        <v>0</v>
      </c>
      <c r="AR135" s="1">
        <f>IFERROR(Table2[[#This Row],[Shelter_PIN]]*$W135,)</f>
        <v>0</v>
      </c>
      <c r="AS135" s="1">
        <f>IFERROR(Table2[[#This Row],[WASH_PIN]]*$W135,)</f>
        <v>0</v>
      </c>
      <c r="AT135" s="1">
        <f>IFERROR(Table2[[#This Row],[WASH_acute_PIN]]*$W135,)</f>
        <v>0</v>
      </c>
      <c r="AU135" s="1">
        <f>IFERROR(Table2[[#This Row],[Protection_PIN]]*$W135,)</f>
        <v>0</v>
      </c>
      <c r="AV135" s="1">
        <f>IFERROR(Table2[[#This Row],[Food_PIN]]*$W135,)</f>
        <v>0</v>
      </c>
      <c r="AW135" s="1">
        <f>IFERROR(Table2[[#This Row],[Protection_CP_PIN]]*$W135,)</f>
        <v>0</v>
      </c>
      <c r="AX135" s="1">
        <f>IFERROR(Table2[[#This Row],[Protection_GBV_PIN]]*$W135,)</f>
        <v>0</v>
      </c>
      <c r="AY135" s="1">
        <f>IFERROR(Table2[[#This Row],[Protection_MA_PIN]]*$W135,)</f>
        <v>0</v>
      </c>
      <c r="AZ135" s="1">
        <v>4</v>
      </c>
      <c r="BA135" s="1" t="s">
        <v>665</v>
      </c>
      <c r="BB135" s="1">
        <v>4</v>
      </c>
      <c r="BC135" s="1">
        <v>0</v>
      </c>
      <c r="BD135" s="1">
        <v>2</v>
      </c>
      <c r="BE135" s="1">
        <v>3</v>
      </c>
      <c r="BF135" s="1">
        <v>4</v>
      </c>
      <c r="BG135" s="1">
        <v>2</v>
      </c>
      <c r="BH135" s="1" t="s">
        <v>820</v>
      </c>
      <c r="BI135" s="1">
        <v>4</v>
      </c>
      <c r="BJ135" s="1">
        <v>4</v>
      </c>
      <c r="BK135" s="1" t="s">
        <v>665</v>
      </c>
      <c r="BL135" s="1">
        <v>0</v>
      </c>
    </row>
    <row r="136" spans="1:64" x14ac:dyDescent="0.35">
      <c r="A136" t="s">
        <v>54</v>
      </c>
      <c r="B136" t="s">
        <v>709</v>
      </c>
      <c r="C136" t="s">
        <v>55</v>
      </c>
      <c r="D136" t="s">
        <v>618</v>
      </c>
      <c r="E136" t="s">
        <v>821</v>
      </c>
      <c r="F136" t="s">
        <v>619</v>
      </c>
      <c r="G136" t="s">
        <v>618</v>
      </c>
      <c r="H136" s="1">
        <v>419.25</v>
      </c>
      <c r="I136" s="1" t="s">
        <v>665</v>
      </c>
      <c r="J136" s="1">
        <v>223</v>
      </c>
      <c r="K136" s="1">
        <v>168</v>
      </c>
      <c r="L136" s="1">
        <v>140.65539912091344</v>
      </c>
      <c r="M136" s="1">
        <v>763.63333333333333</v>
      </c>
      <c r="N136" s="1">
        <v>0</v>
      </c>
      <c r="O136" s="1">
        <v>551.91123188405788</v>
      </c>
      <c r="P136" s="1">
        <v>57</v>
      </c>
      <c r="Q136" s="1">
        <v>447</v>
      </c>
      <c r="R136" s="1">
        <v>351.96296296296293</v>
      </c>
      <c r="S136" s="1">
        <v>39.400000000000006</v>
      </c>
      <c r="T136" s="1">
        <v>230</v>
      </c>
      <c r="U136" s="1">
        <v>534</v>
      </c>
      <c r="V136" s="3">
        <f>_xlfn.XLOOKUP(Table2[[#This Row],[admin3Pcode]],'Inter-sector dataset'!F:F,'Inter-sector dataset'!Q:Q)</f>
        <v>0</v>
      </c>
      <c r="W136" s="3">
        <f>_xlfn.XLOOKUP(Table2[[#This Row],[admin3Pcode]],'Inter-sector dataset'!F:F,'Inter-sector dataset'!R:R)</f>
        <v>0</v>
      </c>
      <c r="X136" s="1">
        <f>IFERROR(Table2[[#This Row],[Health_PIN]]*$V136,)</f>
        <v>0</v>
      </c>
      <c r="Y136" s="1">
        <f>IFERROR(Table2[[#This Row],[CCCM_PIN]]*$V136,)</f>
        <v>0</v>
      </c>
      <c r="Z136" s="1">
        <f>IFERROR(Table2[[#This Row],[ERL_PIN]]*$V136,)</f>
        <v>0</v>
      </c>
      <c r="AA136" s="1">
        <f>IFERROR(Table2[[#This Row],[NFI_PIN]]*$V136,)</f>
        <v>0</v>
      </c>
      <c r="AB136" s="1">
        <f>IFERROR(Table2[[#This Row],[Nutrition_PIN]]*$V136,)</f>
        <v>0</v>
      </c>
      <c r="AC136" s="1">
        <f>IFERROR(Table2[[#This Row],[Education_PIN]]*$V136,)</f>
        <v>0</v>
      </c>
      <c r="AD136" s="1">
        <f>IFERROR(Table2[[#This Row],[Shelter_PIN]]*$V136,)</f>
        <v>0</v>
      </c>
      <c r="AE136" s="1">
        <f>IFERROR(Table2[[#This Row],[WASH_PIN]]*$V136,)</f>
        <v>0</v>
      </c>
      <c r="AF136" s="1">
        <f>IFERROR(Table2[[#This Row],[WASH_acute_PIN]]*$V136,)</f>
        <v>0</v>
      </c>
      <c r="AG136" s="1">
        <f>IFERROR(Table2[[#This Row],[Protection_PIN]]*$V136,)</f>
        <v>0</v>
      </c>
      <c r="AH136" s="1">
        <f>IFERROR(Table2[[#This Row],[Food_PIN]]*$V136,)</f>
        <v>0</v>
      </c>
      <c r="AI136" s="1">
        <f>IFERROR(Table2[[#This Row],[Protection_CP_PIN]]*$V136,)</f>
        <v>0</v>
      </c>
      <c r="AJ136" s="1">
        <f>IFERROR(Table2[[#This Row],[Protection_GBV_PIN]]*$V136,)</f>
        <v>0</v>
      </c>
      <c r="AK136" s="1">
        <f>IFERROR(Table2[[#This Row],[Protection_MA_PIN]]*$V136,)</f>
        <v>0</v>
      </c>
      <c r="AL136" s="1">
        <f>IFERROR(Table2[[#This Row],[Health_PIN]]*$W136,)</f>
        <v>0</v>
      </c>
      <c r="AM136" s="1">
        <f>IFERROR(Table2[[#This Row],[CCCM_PIN]]*$W136,)</f>
        <v>0</v>
      </c>
      <c r="AN136" s="1">
        <f>IFERROR(Table2[[#This Row],[ERL_PIN]]*$W136,)</f>
        <v>0</v>
      </c>
      <c r="AO136" s="1">
        <f>IFERROR(Table2[[#This Row],[NFI_PIN]]*$W136,)</f>
        <v>0</v>
      </c>
      <c r="AP136" s="1">
        <f>IFERROR(Table2[[#This Row],[Nutrition_PIN]]*$W136,)</f>
        <v>0</v>
      </c>
      <c r="AQ136" s="1">
        <f>IFERROR(Table2[[#This Row],[Education_PIN]]*$W136,)</f>
        <v>0</v>
      </c>
      <c r="AR136" s="1">
        <f>IFERROR(Table2[[#This Row],[Shelter_PIN]]*$W136,)</f>
        <v>0</v>
      </c>
      <c r="AS136" s="1">
        <f>IFERROR(Table2[[#This Row],[WASH_PIN]]*$W136,)</f>
        <v>0</v>
      </c>
      <c r="AT136" s="1">
        <f>IFERROR(Table2[[#This Row],[WASH_acute_PIN]]*$W136,)</f>
        <v>0</v>
      </c>
      <c r="AU136" s="1">
        <f>IFERROR(Table2[[#This Row],[Protection_PIN]]*$W136,)</f>
        <v>0</v>
      </c>
      <c r="AV136" s="1">
        <f>IFERROR(Table2[[#This Row],[Food_PIN]]*$W136,)</f>
        <v>0</v>
      </c>
      <c r="AW136" s="1">
        <f>IFERROR(Table2[[#This Row],[Protection_CP_PIN]]*$W136,)</f>
        <v>0</v>
      </c>
      <c r="AX136" s="1">
        <f>IFERROR(Table2[[#This Row],[Protection_GBV_PIN]]*$W136,)</f>
        <v>0</v>
      </c>
      <c r="AY136" s="1">
        <f>IFERROR(Table2[[#This Row],[Protection_MA_PIN]]*$W136,)</f>
        <v>0</v>
      </c>
      <c r="AZ136" s="1">
        <v>1</v>
      </c>
      <c r="BA136" s="1">
        <v>4</v>
      </c>
      <c r="BB136" s="1">
        <v>4</v>
      </c>
      <c r="BC136" s="1">
        <v>3</v>
      </c>
      <c r="BD136" s="1">
        <v>3</v>
      </c>
      <c r="BE136" s="1">
        <v>4</v>
      </c>
      <c r="BF136" s="1">
        <v>4</v>
      </c>
      <c r="BG136" s="1">
        <v>2</v>
      </c>
      <c r="BH136" s="1">
        <v>4</v>
      </c>
      <c r="BI136" s="1">
        <v>4</v>
      </c>
      <c r="BJ136" s="1">
        <v>3</v>
      </c>
      <c r="BK136" s="1" t="s">
        <v>665</v>
      </c>
      <c r="BL136" s="1">
        <v>3</v>
      </c>
    </row>
    <row r="137" spans="1:64" x14ac:dyDescent="0.35">
      <c r="A137" t="s">
        <v>168</v>
      </c>
      <c r="B137" t="s">
        <v>681</v>
      </c>
      <c r="C137" t="s">
        <v>169</v>
      </c>
      <c r="D137" t="s">
        <v>616</v>
      </c>
      <c r="E137" t="s">
        <v>822</v>
      </c>
      <c r="F137" t="s">
        <v>617</v>
      </c>
      <c r="G137" t="s">
        <v>616</v>
      </c>
      <c r="H137" s="1">
        <v>762</v>
      </c>
      <c r="I137" s="1" t="s">
        <v>665</v>
      </c>
      <c r="J137" s="1">
        <v>594</v>
      </c>
      <c r="K137" s="1">
        <v>305</v>
      </c>
      <c r="L137" s="1">
        <v>283.95040029584885</v>
      </c>
      <c r="M137" s="1">
        <v>131.70810810810821</v>
      </c>
      <c r="N137" s="1">
        <v>305</v>
      </c>
      <c r="O137" s="1">
        <v>0</v>
      </c>
      <c r="P137" s="1">
        <v>0</v>
      </c>
      <c r="Q137" s="1">
        <v>813</v>
      </c>
      <c r="R137" s="1">
        <v>790.22222222222217</v>
      </c>
      <c r="S137" s="1">
        <v>309.29999999999995</v>
      </c>
      <c r="T137" s="1">
        <v>392</v>
      </c>
      <c r="U137" s="1">
        <v>1016</v>
      </c>
      <c r="V137" s="3">
        <f>_xlfn.XLOOKUP(Table2[[#This Row],[admin3Pcode]],'Inter-sector dataset'!F:F,'Inter-sector dataset'!Q:Q)</f>
        <v>0</v>
      </c>
      <c r="W137" s="3">
        <f>_xlfn.XLOOKUP(Table2[[#This Row],[admin3Pcode]],'Inter-sector dataset'!F:F,'Inter-sector dataset'!R:R)</f>
        <v>0</v>
      </c>
      <c r="X137" s="1">
        <f>IFERROR(Table2[[#This Row],[Health_PIN]]*$V137,)</f>
        <v>0</v>
      </c>
      <c r="Y137" s="1">
        <f>IFERROR(Table2[[#This Row],[CCCM_PIN]]*$V137,)</f>
        <v>0</v>
      </c>
      <c r="Z137" s="1">
        <f>IFERROR(Table2[[#This Row],[ERL_PIN]]*$V137,)</f>
        <v>0</v>
      </c>
      <c r="AA137" s="1">
        <f>IFERROR(Table2[[#This Row],[NFI_PIN]]*$V137,)</f>
        <v>0</v>
      </c>
      <c r="AB137" s="1">
        <f>IFERROR(Table2[[#This Row],[Nutrition_PIN]]*$V137,)</f>
        <v>0</v>
      </c>
      <c r="AC137" s="1">
        <f>IFERROR(Table2[[#This Row],[Education_PIN]]*$V137,)</f>
        <v>0</v>
      </c>
      <c r="AD137" s="1">
        <f>IFERROR(Table2[[#This Row],[Shelter_PIN]]*$V137,)</f>
        <v>0</v>
      </c>
      <c r="AE137" s="1">
        <f>IFERROR(Table2[[#This Row],[WASH_PIN]]*$V137,)</f>
        <v>0</v>
      </c>
      <c r="AF137" s="1">
        <f>IFERROR(Table2[[#This Row],[WASH_acute_PIN]]*$V137,)</f>
        <v>0</v>
      </c>
      <c r="AG137" s="1">
        <f>IFERROR(Table2[[#This Row],[Protection_PIN]]*$V137,)</f>
        <v>0</v>
      </c>
      <c r="AH137" s="1">
        <f>IFERROR(Table2[[#This Row],[Food_PIN]]*$V137,)</f>
        <v>0</v>
      </c>
      <c r="AI137" s="1">
        <f>IFERROR(Table2[[#This Row],[Protection_CP_PIN]]*$V137,)</f>
        <v>0</v>
      </c>
      <c r="AJ137" s="1">
        <f>IFERROR(Table2[[#This Row],[Protection_GBV_PIN]]*$V137,)</f>
        <v>0</v>
      </c>
      <c r="AK137" s="1">
        <f>IFERROR(Table2[[#This Row],[Protection_MA_PIN]]*$V137,)</f>
        <v>0</v>
      </c>
      <c r="AL137" s="1">
        <f>IFERROR(Table2[[#This Row],[Health_PIN]]*$W137,)</f>
        <v>0</v>
      </c>
      <c r="AM137" s="1">
        <f>IFERROR(Table2[[#This Row],[CCCM_PIN]]*$W137,)</f>
        <v>0</v>
      </c>
      <c r="AN137" s="1">
        <f>IFERROR(Table2[[#This Row],[ERL_PIN]]*$W137,)</f>
        <v>0</v>
      </c>
      <c r="AO137" s="1">
        <f>IFERROR(Table2[[#This Row],[NFI_PIN]]*$W137,)</f>
        <v>0</v>
      </c>
      <c r="AP137" s="1">
        <f>IFERROR(Table2[[#This Row],[Nutrition_PIN]]*$W137,)</f>
        <v>0</v>
      </c>
      <c r="AQ137" s="1">
        <f>IFERROR(Table2[[#This Row],[Education_PIN]]*$W137,)</f>
        <v>0</v>
      </c>
      <c r="AR137" s="1">
        <f>IFERROR(Table2[[#This Row],[Shelter_PIN]]*$W137,)</f>
        <v>0</v>
      </c>
      <c r="AS137" s="1">
        <f>IFERROR(Table2[[#This Row],[WASH_PIN]]*$W137,)</f>
        <v>0</v>
      </c>
      <c r="AT137" s="1">
        <f>IFERROR(Table2[[#This Row],[WASH_acute_PIN]]*$W137,)</f>
        <v>0</v>
      </c>
      <c r="AU137" s="1">
        <f>IFERROR(Table2[[#This Row],[Protection_PIN]]*$W137,)</f>
        <v>0</v>
      </c>
      <c r="AV137" s="1">
        <f>IFERROR(Table2[[#This Row],[Food_PIN]]*$W137,)</f>
        <v>0</v>
      </c>
      <c r="AW137" s="1">
        <f>IFERROR(Table2[[#This Row],[Protection_CP_PIN]]*$W137,)</f>
        <v>0</v>
      </c>
      <c r="AX137" s="1">
        <f>IFERROR(Table2[[#This Row],[Protection_GBV_PIN]]*$W137,)</f>
        <v>0</v>
      </c>
      <c r="AY137" s="1">
        <f>IFERROR(Table2[[#This Row],[Protection_MA_PIN]]*$W137,)</f>
        <v>0</v>
      </c>
      <c r="AZ137" s="1">
        <v>3</v>
      </c>
      <c r="BA137" s="1">
        <v>4</v>
      </c>
      <c r="BB137" s="1">
        <v>3</v>
      </c>
      <c r="BC137" s="1">
        <v>3</v>
      </c>
      <c r="BD137" s="1">
        <v>3</v>
      </c>
      <c r="BE137" s="1">
        <v>4</v>
      </c>
      <c r="BF137" s="1">
        <v>4</v>
      </c>
      <c r="BG137" s="1">
        <v>4</v>
      </c>
      <c r="BH137" s="1">
        <v>4</v>
      </c>
      <c r="BI137" s="1">
        <v>4</v>
      </c>
      <c r="BJ137" s="1">
        <v>4</v>
      </c>
      <c r="BK137" s="1" t="s">
        <v>665</v>
      </c>
      <c r="BL137" s="1">
        <v>2</v>
      </c>
    </row>
    <row r="138" spans="1:64" x14ac:dyDescent="0.35">
      <c r="A138" t="s">
        <v>192</v>
      </c>
      <c r="B138" t="s">
        <v>711</v>
      </c>
      <c r="C138" t="s">
        <v>193</v>
      </c>
      <c r="D138" t="s">
        <v>614</v>
      </c>
      <c r="E138" t="s">
        <v>823</v>
      </c>
      <c r="F138" t="s">
        <v>615</v>
      </c>
      <c r="G138" t="s">
        <v>824</v>
      </c>
      <c r="H138" s="1">
        <v>821.25</v>
      </c>
      <c r="I138" s="1" t="s">
        <v>665</v>
      </c>
      <c r="J138" s="1">
        <v>543</v>
      </c>
      <c r="K138" s="1">
        <v>219</v>
      </c>
      <c r="L138" s="1">
        <v>224.44757178258158</v>
      </c>
      <c r="M138" s="1">
        <v>154.48323758339515</v>
      </c>
      <c r="N138" s="1">
        <v>328</v>
      </c>
      <c r="O138" s="1">
        <v>1095</v>
      </c>
      <c r="P138" s="1">
        <v>957</v>
      </c>
      <c r="Q138" s="1">
        <v>876</v>
      </c>
      <c r="R138" s="1">
        <v>865.05000000000007</v>
      </c>
      <c r="S138" s="1">
        <v>89.500000000000014</v>
      </c>
      <c r="T138" s="1">
        <v>460</v>
      </c>
      <c r="U138" s="1">
        <v>250</v>
      </c>
      <c r="V138" s="3">
        <f>_xlfn.XLOOKUP(Table2[[#This Row],[admin3Pcode]],'Inter-sector dataset'!F:F,'Inter-sector dataset'!Q:Q)</f>
        <v>0</v>
      </c>
      <c r="W138" s="3">
        <f>_xlfn.XLOOKUP(Table2[[#This Row],[admin3Pcode]],'Inter-sector dataset'!F:F,'Inter-sector dataset'!R:R)</f>
        <v>0</v>
      </c>
      <c r="X138" s="1">
        <f>IFERROR(Table2[[#This Row],[Health_PIN]]*$V138,)</f>
        <v>0</v>
      </c>
      <c r="Y138" s="1">
        <f>IFERROR(Table2[[#This Row],[CCCM_PIN]]*$V138,)</f>
        <v>0</v>
      </c>
      <c r="Z138" s="1">
        <f>IFERROR(Table2[[#This Row],[ERL_PIN]]*$V138,)</f>
        <v>0</v>
      </c>
      <c r="AA138" s="1">
        <f>IFERROR(Table2[[#This Row],[NFI_PIN]]*$V138,)</f>
        <v>0</v>
      </c>
      <c r="AB138" s="1">
        <f>IFERROR(Table2[[#This Row],[Nutrition_PIN]]*$V138,)</f>
        <v>0</v>
      </c>
      <c r="AC138" s="1">
        <f>IFERROR(Table2[[#This Row],[Education_PIN]]*$V138,)</f>
        <v>0</v>
      </c>
      <c r="AD138" s="1">
        <f>IFERROR(Table2[[#This Row],[Shelter_PIN]]*$V138,)</f>
        <v>0</v>
      </c>
      <c r="AE138" s="1">
        <f>IFERROR(Table2[[#This Row],[WASH_PIN]]*$V138,)</f>
        <v>0</v>
      </c>
      <c r="AF138" s="1">
        <f>IFERROR(Table2[[#This Row],[WASH_acute_PIN]]*$V138,)</f>
        <v>0</v>
      </c>
      <c r="AG138" s="1">
        <f>IFERROR(Table2[[#This Row],[Protection_PIN]]*$V138,)</f>
        <v>0</v>
      </c>
      <c r="AH138" s="1">
        <f>IFERROR(Table2[[#This Row],[Food_PIN]]*$V138,)</f>
        <v>0</v>
      </c>
      <c r="AI138" s="1">
        <f>IFERROR(Table2[[#This Row],[Protection_CP_PIN]]*$V138,)</f>
        <v>0</v>
      </c>
      <c r="AJ138" s="1">
        <f>IFERROR(Table2[[#This Row],[Protection_GBV_PIN]]*$V138,)</f>
        <v>0</v>
      </c>
      <c r="AK138" s="1">
        <f>IFERROR(Table2[[#This Row],[Protection_MA_PIN]]*$V138,)</f>
        <v>0</v>
      </c>
      <c r="AL138" s="1">
        <f>IFERROR(Table2[[#This Row],[Health_PIN]]*$W138,)</f>
        <v>0</v>
      </c>
      <c r="AM138" s="1">
        <f>IFERROR(Table2[[#This Row],[CCCM_PIN]]*$W138,)</f>
        <v>0</v>
      </c>
      <c r="AN138" s="1">
        <f>IFERROR(Table2[[#This Row],[ERL_PIN]]*$W138,)</f>
        <v>0</v>
      </c>
      <c r="AO138" s="1">
        <f>IFERROR(Table2[[#This Row],[NFI_PIN]]*$W138,)</f>
        <v>0</v>
      </c>
      <c r="AP138" s="1">
        <f>IFERROR(Table2[[#This Row],[Nutrition_PIN]]*$W138,)</f>
        <v>0</v>
      </c>
      <c r="AQ138" s="1">
        <f>IFERROR(Table2[[#This Row],[Education_PIN]]*$W138,)</f>
        <v>0</v>
      </c>
      <c r="AR138" s="1">
        <f>IFERROR(Table2[[#This Row],[Shelter_PIN]]*$W138,)</f>
        <v>0</v>
      </c>
      <c r="AS138" s="1">
        <f>IFERROR(Table2[[#This Row],[WASH_PIN]]*$W138,)</f>
        <v>0</v>
      </c>
      <c r="AT138" s="1">
        <f>IFERROR(Table2[[#This Row],[WASH_acute_PIN]]*$W138,)</f>
        <v>0</v>
      </c>
      <c r="AU138" s="1">
        <f>IFERROR(Table2[[#This Row],[Protection_PIN]]*$W138,)</f>
        <v>0</v>
      </c>
      <c r="AV138" s="1">
        <f>IFERROR(Table2[[#This Row],[Food_PIN]]*$W138,)</f>
        <v>0</v>
      </c>
      <c r="AW138" s="1">
        <f>IFERROR(Table2[[#This Row],[Protection_CP_PIN]]*$W138,)</f>
        <v>0</v>
      </c>
      <c r="AX138" s="1">
        <f>IFERROR(Table2[[#This Row],[Protection_GBV_PIN]]*$W138,)</f>
        <v>0</v>
      </c>
      <c r="AY138" s="1">
        <f>IFERROR(Table2[[#This Row],[Protection_MA_PIN]]*$W138,)</f>
        <v>0</v>
      </c>
      <c r="AZ138" s="1">
        <v>3</v>
      </c>
      <c r="BA138" s="1">
        <v>3</v>
      </c>
      <c r="BB138" s="1">
        <v>4</v>
      </c>
      <c r="BC138" s="1">
        <v>2</v>
      </c>
      <c r="BD138" s="1">
        <v>3</v>
      </c>
      <c r="BE138" s="1">
        <v>4</v>
      </c>
      <c r="BF138" s="1">
        <v>4</v>
      </c>
      <c r="BG138" s="1">
        <v>2</v>
      </c>
      <c r="BH138" s="1">
        <v>4</v>
      </c>
      <c r="BI138" s="1">
        <v>4</v>
      </c>
      <c r="BJ138" s="1">
        <v>4</v>
      </c>
      <c r="BK138" s="1" t="s">
        <v>665</v>
      </c>
      <c r="BL138" s="1">
        <v>4</v>
      </c>
    </row>
    <row r="139" spans="1:64" x14ac:dyDescent="0.35">
      <c r="A139" t="s">
        <v>54</v>
      </c>
      <c r="B139" t="s">
        <v>709</v>
      </c>
      <c r="C139" t="s">
        <v>55</v>
      </c>
      <c r="D139" t="s">
        <v>606</v>
      </c>
      <c r="E139" t="s">
        <v>825</v>
      </c>
      <c r="F139" t="s">
        <v>607</v>
      </c>
      <c r="G139" t="s">
        <v>606</v>
      </c>
      <c r="H139" s="1">
        <v>999.75</v>
      </c>
      <c r="I139" s="1" t="s">
        <v>665</v>
      </c>
      <c r="J139" s="1">
        <v>1151</v>
      </c>
      <c r="K139" s="1">
        <v>400</v>
      </c>
      <c r="L139" s="1">
        <v>319.6870189896199</v>
      </c>
      <c r="M139" s="1">
        <v>556.55667613818491</v>
      </c>
      <c r="N139" s="1">
        <v>267</v>
      </c>
      <c r="O139" s="1">
        <v>492.25913176515587</v>
      </c>
      <c r="P139" s="1">
        <v>0</v>
      </c>
      <c r="Q139" s="1">
        <v>1066</v>
      </c>
      <c r="R139" s="1">
        <v>1147.8611111111111</v>
      </c>
      <c r="S139" s="1">
        <v>426.00000000000006</v>
      </c>
      <c r="T139" s="1">
        <v>633</v>
      </c>
      <c r="U139" s="1">
        <v>1083</v>
      </c>
      <c r="V139" s="3">
        <f>_xlfn.XLOOKUP(Table2[[#This Row],[admin3Pcode]],'Inter-sector dataset'!F:F,'Inter-sector dataset'!Q:Q)</f>
        <v>0</v>
      </c>
      <c r="W139" s="3">
        <f>_xlfn.XLOOKUP(Table2[[#This Row],[admin3Pcode]],'Inter-sector dataset'!F:F,'Inter-sector dataset'!R:R)</f>
        <v>0</v>
      </c>
      <c r="X139" s="1">
        <f>IFERROR(Table2[[#This Row],[Health_PIN]]*$V139,)</f>
        <v>0</v>
      </c>
      <c r="Y139" s="1">
        <f>IFERROR(Table2[[#This Row],[CCCM_PIN]]*$V139,)</f>
        <v>0</v>
      </c>
      <c r="Z139" s="1">
        <f>IFERROR(Table2[[#This Row],[ERL_PIN]]*$V139,)</f>
        <v>0</v>
      </c>
      <c r="AA139" s="1">
        <f>IFERROR(Table2[[#This Row],[NFI_PIN]]*$V139,)</f>
        <v>0</v>
      </c>
      <c r="AB139" s="1">
        <f>IFERROR(Table2[[#This Row],[Nutrition_PIN]]*$V139,)</f>
        <v>0</v>
      </c>
      <c r="AC139" s="1">
        <f>IFERROR(Table2[[#This Row],[Education_PIN]]*$V139,)</f>
        <v>0</v>
      </c>
      <c r="AD139" s="1">
        <f>IFERROR(Table2[[#This Row],[Shelter_PIN]]*$V139,)</f>
        <v>0</v>
      </c>
      <c r="AE139" s="1">
        <f>IFERROR(Table2[[#This Row],[WASH_PIN]]*$V139,)</f>
        <v>0</v>
      </c>
      <c r="AF139" s="1">
        <f>IFERROR(Table2[[#This Row],[WASH_acute_PIN]]*$V139,)</f>
        <v>0</v>
      </c>
      <c r="AG139" s="1">
        <f>IFERROR(Table2[[#This Row],[Protection_PIN]]*$V139,)</f>
        <v>0</v>
      </c>
      <c r="AH139" s="1">
        <f>IFERROR(Table2[[#This Row],[Food_PIN]]*$V139,)</f>
        <v>0</v>
      </c>
      <c r="AI139" s="1">
        <f>IFERROR(Table2[[#This Row],[Protection_CP_PIN]]*$V139,)</f>
        <v>0</v>
      </c>
      <c r="AJ139" s="1">
        <f>IFERROR(Table2[[#This Row],[Protection_GBV_PIN]]*$V139,)</f>
        <v>0</v>
      </c>
      <c r="AK139" s="1">
        <f>IFERROR(Table2[[#This Row],[Protection_MA_PIN]]*$V139,)</f>
        <v>0</v>
      </c>
      <c r="AL139" s="1">
        <f>IFERROR(Table2[[#This Row],[Health_PIN]]*$W139,)</f>
        <v>0</v>
      </c>
      <c r="AM139" s="1">
        <f>IFERROR(Table2[[#This Row],[CCCM_PIN]]*$W139,)</f>
        <v>0</v>
      </c>
      <c r="AN139" s="1">
        <f>IFERROR(Table2[[#This Row],[ERL_PIN]]*$W139,)</f>
        <v>0</v>
      </c>
      <c r="AO139" s="1">
        <f>IFERROR(Table2[[#This Row],[NFI_PIN]]*$W139,)</f>
        <v>0</v>
      </c>
      <c r="AP139" s="1">
        <f>IFERROR(Table2[[#This Row],[Nutrition_PIN]]*$W139,)</f>
        <v>0</v>
      </c>
      <c r="AQ139" s="1">
        <f>IFERROR(Table2[[#This Row],[Education_PIN]]*$W139,)</f>
        <v>0</v>
      </c>
      <c r="AR139" s="1">
        <f>IFERROR(Table2[[#This Row],[Shelter_PIN]]*$W139,)</f>
        <v>0</v>
      </c>
      <c r="AS139" s="1">
        <f>IFERROR(Table2[[#This Row],[WASH_PIN]]*$W139,)</f>
        <v>0</v>
      </c>
      <c r="AT139" s="1">
        <f>IFERROR(Table2[[#This Row],[WASH_acute_PIN]]*$W139,)</f>
        <v>0</v>
      </c>
      <c r="AU139" s="1">
        <f>IFERROR(Table2[[#This Row],[Protection_PIN]]*$W139,)</f>
        <v>0</v>
      </c>
      <c r="AV139" s="1">
        <f>IFERROR(Table2[[#This Row],[Food_PIN]]*$W139,)</f>
        <v>0</v>
      </c>
      <c r="AW139" s="1">
        <f>IFERROR(Table2[[#This Row],[Protection_CP_PIN]]*$W139,)</f>
        <v>0</v>
      </c>
      <c r="AX139" s="1">
        <f>IFERROR(Table2[[#This Row],[Protection_GBV_PIN]]*$W139,)</f>
        <v>0</v>
      </c>
      <c r="AY139" s="1">
        <f>IFERROR(Table2[[#This Row],[Protection_MA_PIN]]*$W139,)</f>
        <v>0</v>
      </c>
      <c r="AZ139" s="1">
        <v>2</v>
      </c>
      <c r="BA139" s="1">
        <v>4</v>
      </c>
      <c r="BB139" s="1">
        <v>3</v>
      </c>
      <c r="BC139" s="1">
        <v>3</v>
      </c>
      <c r="BD139" s="1">
        <v>3</v>
      </c>
      <c r="BE139" s="1">
        <v>4</v>
      </c>
      <c r="BF139" s="1">
        <v>4</v>
      </c>
      <c r="BG139" s="1">
        <v>5</v>
      </c>
      <c r="BH139" s="1">
        <v>4</v>
      </c>
      <c r="BI139" s="1">
        <v>4</v>
      </c>
      <c r="BJ139" s="1">
        <v>4</v>
      </c>
      <c r="BK139" s="1" t="s">
        <v>665</v>
      </c>
      <c r="BL139" s="1">
        <v>3</v>
      </c>
    </row>
    <row r="140" spans="1:64" x14ac:dyDescent="0.35">
      <c r="A140" t="s">
        <v>192</v>
      </c>
      <c r="B140" t="s">
        <v>711</v>
      </c>
      <c r="C140" t="s">
        <v>193</v>
      </c>
      <c r="D140" t="s">
        <v>610</v>
      </c>
      <c r="E140" t="s">
        <v>826</v>
      </c>
      <c r="F140" t="s">
        <v>611</v>
      </c>
      <c r="G140" t="s">
        <v>610</v>
      </c>
      <c r="H140" s="1">
        <v>1210.5</v>
      </c>
      <c r="I140" s="1" t="s">
        <v>665</v>
      </c>
      <c r="J140" s="1">
        <v>967</v>
      </c>
      <c r="K140" s="1">
        <v>323</v>
      </c>
      <c r="L140" s="1">
        <v>426.54268116664798</v>
      </c>
      <c r="M140" s="1">
        <v>274.88333185373745</v>
      </c>
      <c r="N140" s="1">
        <v>323</v>
      </c>
      <c r="O140" s="1">
        <v>538.00000000000011</v>
      </c>
      <c r="P140" s="1">
        <v>45</v>
      </c>
      <c r="Q140" s="1">
        <v>1291</v>
      </c>
      <c r="R140" s="1">
        <v>564.9</v>
      </c>
      <c r="S140" s="1">
        <v>586.20000000000005</v>
      </c>
      <c r="T140" s="1">
        <v>650</v>
      </c>
      <c r="U140" s="1">
        <v>1614</v>
      </c>
      <c r="V140" s="3">
        <f>_xlfn.XLOOKUP(Table2[[#This Row],[admin3Pcode]],'Inter-sector dataset'!F:F,'Inter-sector dataset'!Q:Q)</f>
        <v>0.13</v>
      </c>
      <c r="W140" s="3">
        <f>_xlfn.XLOOKUP(Table2[[#This Row],[admin3Pcode]],'Inter-sector dataset'!F:F,'Inter-sector dataset'!R:R)</f>
        <v>0</v>
      </c>
      <c r="X140" s="1">
        <f>IFERROR(Table2[[#This Row],[Health_PIN]]*$V140,)</f>
        <v>157.36500000000001</v>
      </c>
      <c r="Y140" s="1">
        <f>IFERROR(Table2[[#This Row],[CCCM_PIN]]*$V140,)</f>
        <v>0</v>
      </c>
      <c r="Z140" s="1">
        <f>IFERROR(Table2[[#This Row],[ERL_PIN]]*$V140,)</f>
        <v>125.71000000000001</v>
      </c>
      <c r="AA140" s="1">
        <f>IFERROR(Table2[[#This Row],[NFI_PIN]]*$V140,)</f>
        <v>41.99</v>
      </c>
      <c r="AB140" s="1">
        <f>IFERROR(Table2[[#This Row],[Nutrition_PIN]]*$V140,)</f>
        <v>55.450548551664241</v>
      </c>
      <c r="AC140" s="1">
        <f>IFERROR(Table2[[#This Row],[Education_PIN]]*$V140,)</f>
        <v>35.73483314098587</v>
      </c>
      <c r="AD140" s="1">
        <f>IFERROR(Table2[[#This Row],[Shelter_PIN]]*$V140,)</f>
        <v>41.99</v>
      </c>
      <c r="AE140" s="1">
        <f>IFERROR(Table2[[#This Row],[WASH_PIN]]*$V140,)</f>
        <v>69.940000000000012</v>
      </c>
      <c r="AF140" s="1">
        <f>IFERROR(Table2[[#This Row],[WASH_acute_PIN]]*$V140,)</f>
        <v>5.8500000000000005</v>
      </c>
      <c r="AG140" s="1">
        <f>IFERROR(Table2[[#This Row],[Protection_PIN]]*$V140,)</f>
        <v>167.83</v>
      </c>
      <c r="AH140" s="1">
        <f>IFERROR(Table2[[#This Row],[Food_PIN]]*$V140,)</f>
        <v>73.436999999999998</v>
      </c>
      <c r="AI140" s="1">
        <f>IFERROR(Table2[[#This Row],[Protection_CP_PIN]]*$V140,)</f>
        <v>76.206000000000003</v>
      </c>
      <c r="AJ140" s="1">
        <f>IFERROR(Table2[[#This Row],[Protection_GBV_PIN]]*$V140,)</f>
        <v>84.5</v>
      </c>
      <c r="AK140" s="1">
        <f>IFERROR(Table2[[#This Row],[Protection_MA_PIN]]*$V140,)</f>
        <v>209.82</v>
      </c>
      <c r="AL140" s="1">
        <f>IFERROR(Table2[[#This Row],[Health_PIN]]*$W140,)</f>
        <v>0</v>
      </c>
      <c r="AM140" s="1">
        <f>IFERROR(Table2[[#This Row],[CCCM_PIN]]*$W140,)</f>
        <v>0</v>
      </c>
      <c r="AN140" s="1">
        <f>IFERROR(Table2[[#This Row],[ERL_PIN]]*$W140,)</f>
        <v>0</v>
      </c>
      <c r="AO140" s="1">
        <f>IFERROR(Table2[[#This Row],[NFI_PIN]]*$W140,)</f>
        <v>0</v>
      </c>
      <c r="AP140" s="1">
        <f>IFERROR(Table2[[#This Row],[Nutrition_PIN]]*$W140,)</f>
        <v>0</v>
      </c>
      <c r="AQ140" s="1">
        <f>IFERROR(Table2[[#This Row],[Education_PIN]]*$W140,)</f>
        <v>0</v>
      </c>
      <c r="AR140" s="1">
        <f>IFERROR(Table2[[#This Row],[Shelter_PIN]]*$W140,)</f>
        <v>0</v>
      </c>
      <c r="AS140" s="1">
        <f>IFERROR(Table2[[#This Row],[WASH_PIN]]*$W140,)</f>
        <v>0</v>
      </c>
      <c r="AT140" s="1">
        <f>IFERROR(Table2[[#This Row],[WASH_acute_PIN]]*$W140,)</f>
        <v>0</v>
      </c>
      <c r="AU140" s="1">
        <f>IFERROR(Table2[[#This Row],[Protection_PIN]]*$W140,)</f>
        <v>0</v>
      </c>
      <c r="AV140" s="1">
        <f>IFERROR(Table2[[#This Row],[Food_PIN]]*$W140,)</f>
        <v>0</v>
      </c>
      <c r="AW140" s="1">
        <f>IFERROR(Table2[[#This Row],[Protection_CP_PIN]]*$W140,)</f>
        <v>0</v>
      </c>
      <c r="AX140" s="1">
        <f>IFERROR(Table2[[#This Row],[Protection_GBV_PIN]]*$W140,)</f>
        <v>0</v>
      </c>
      <c r="AY140" s="1">
        <f>IFERROR(Table2[[#This Row],[Protection_MA_PIN]]*$W140,)</f>
        <v>0</v>
      </c>
      <c r="AZ140" s="1">
        <v>2</v>
      </c>
      <c r="BA140" s="1">
        <v>3</v>
      </c>
      <c r="BB140" s="1">
        <v>4</v>
      </c>
      <c r="BC140" s="1">
        <v>2</v>
      </c>
      <c r="BD140" s="1">
        <v>3</v>
      </c>
      <c r="BE140" s="1">
        <v>4</v>
      </c>
      <c r="BF140" s="1">
        <v>4</v>
      </c>
      <c r="BG140" s="1">
        <v>4</v>
      </c>
      <c r="BH140" s="1">
        <v>4</v>
      </c>
      <c r="BI140" s="1">
        <v>4</v>
      </c>
      <c r="BJ140" s="1">
        <v>3</v>
      </c>
      <c r="BK140" s="1" t="s">
        <v>665</v>
      </c>
      <c r="BL140" s="1">
        <v>3</v>
      </c>
    </row>
    <row r="141" spans="1:64" x14ac:dyDescent="0.35">
      <c r="A141" t="s">
        <v>12</v>
      </c>
      <c r="B141" t="s">
        <v>673</v>
      </c>
      <c r="C141" t="s">
        <v>13</v>
      </c>
      <c r="D141" t="s">
        <v>608</v>
      </c>
      <c r="E141" t="s">
        <v>827</v>
      </c>
      <c r="F141" t="s">
        <v>609</v>
      </c>
      <c r="G141" t="s">
        <v>608</v>
      </c>
      <c r="H141" s="1">
        <v>0</v>
      </c>
      <c r="I141" s="1" t="s">
        <v>665</v>
      </c>
      <c r="J141" s="1">
        <v>1567</v>
      </c>
      <c r="K141" s="1">
        <v>342</v>
      </c>
      <c r="L141" s="1">
        <v>348.36584227523349</v>
      </c>
      <c r="M141" s="1">
        <v>122.15273972602765</v>
      </c>
      <c r="N141" s="1">
        <v>132</v>
      </c>
      <c r="O141" s="1">
        <v>377.54115076474881</v>
      </c>
      <c r="P141" s="1">
        <v>0</v>
      </c>
      <c r="Q141" s="1">
        <v>1355</v>
      </c>
      <c r="R141" s="1">
        <v>1035.2222222222224</v>
      </c>
      <c r="S141" s="1">
        <v>315.89999999999998</v>
      </c>
      <c r="T141" s="1">
        <v>259</v>
      </c>
      <c r="U141" s="1">
        <v>1010</v>
      </c>
      <c r="V141" s="3">
        <f>_xlfn.XLOOKUP(Table2[[#This Row],[admin3Pcode]],'Inter-sector dataset'!F:F,'Inter-sector dataset'!Q:Q)</f>
        <v>0.2</v>
      </c>
      <c r="W141" s="3">
        <f>_xlfn.XLOOKUP(Table2[[#This Row],[admin3Pcode]],'Inter-sector dataset'!F:F,'Inter-sector dataset'!R:R)</f>
        <v>0</v>
      </c>
      <c r="X141" s="1">
        <f>IFERROR(Table2[[#This Row],[Health_PIN]]*$V141,)</f>
        <v>0</v>
      </c>
      <c r="Y141" s="1">
        <f>IFERROR(Table2[[#This Row],[CCCM_PIN]]*$V141,)</f>
        <v>0</v>
      </c>
      <c r="Z141" s="1">
        <f>IFERROR(Table2[[#This Row],[ERL_PIN]]*$V141,)</f>
        <v>313.40000000000003</v>
      </c>
      <c r="AA141" s="1">
        <f>IFERROR(Table2[[#This Row],[NFI_PIN]]*$V141,)</f>
        <v>68.400000000000006</v>
      </c>
      <c r="AB141" s="1">
        <f>IFERROR(Table2[[#This Row],[Nutrition_PIN]]*$V141,)</f>
        <v>69.673168455046707</v>
      </c>
      <c r="AC141" s="1">
        <f>IFERROR(Table2[[#This Row],[Education_PIN]]*$V141,)</f>
        <v>24.430547945205532</v>
      </c>
      <c r="AD141" s="1">
        <f>IFERROR(Table2[[#This Row],[Shelter_PIN]]*$V141,)</f>
        <v>26.400000000000002</v>
      </c>
      <c r="AE141" s="1">
        <f>IFERROR(Table2[[#This Row],[WASH_PIN]]*$V141,)</f>
        <v>75.508230152949764</v>
      </c>
      <c r="AF141" s="1">
        <f>IFERROR(Table2[[#This Row],[WASH_acute_PIN]]*$V141,)</f>
        <v>0</v>
      </c>
      <c r="AG141" s="1">
        <f>IFERROR(Table2[[#This Row],[Protection_PIN]]*$V141,)</f>
        <v>271</v>
      </c>
      <c r="AH141" s="1">
        <f>IFERROR(Table2[[#This Row],[Food_PIN]]*$V141,)</f>
        <v>207.04444444444448</v>
      </c>
      <c r="AI141" s="1">
        <f>IFERROR(Table2[[#This Row],[Protection_CP_PIN]]*$V141,)</f>
        <v>63.18</v>
      </c>
      <c r="AJ141" s="1">
        <f>IFERROR(Table2[[#This Row],[Protection_GBV_PIN]]*$V141,)</f>
        <v>51.800000000000004</v>
      </c>
      <c r="AK141" s="1">
        <f>IFERROR(Table2[[#This Row],[Protection_MA_PIN]]*$V141,)</f>
        <v>202</v>
      </c>
      <c r="AL141" s="1">
        <f>IFERROR(Table2[[#This Row],[Health_PIN]]*$W141,)</f>
        <v>0</v>
      </c>
      <c r="AM141" s="1">
        <f>IFERROR(Table2[[#This Row],[CCCM_PIN]]*$W141,)</f>
        <v>0</v>
      </c>
      <c r="AN141" s="1">
        <f>IFERROR(Table2[[#This Row],[ERL_PIN]]*$W141,)</f>
        <v>0</v>
      </c>
      <c r="AO141" s="1">
        <f>IFERROR(Table2[[#This Row],[NFI_PIN]]*$W141,)</f>
        <v>0</v>
      </c>
      <c r="AP141" s="1">
        <f>IFERROR(Table2[[#This Row],[Nutrition_PIN]]*$W141,)</f>
        <v>0</v>
      </c>
      <c r="AQ141" s="1">
        <f>IFERROR(Table2[[#This Row],[Education_PIN]]*$W141,)</f>
        <v>0</v>
      </c>
      <c r="AR141" s="1">
        <f>IFERROR(Table2[[#This Row],[Shelter_PIN]]*$W141,)</f>
        <v>0</v>
      </c>
      <c r="AS141" s="1">
        <f>IFERROR(Table2[[#This Row],[WASH_PIN]]*$W141,)</f>
        <v>0</v>
      </c>
      <c r="AT141" s="1">
        <f>IFERROR(Table2[[#This Row],[WASH_acute_PIN]]*$W141,)</f>
        <v>0</v>
      </c>
      <c r="AU141" s="1">
        <f>IFERROR(Table2[[#This Row],[Protection_PIN]]*$W141,)</f>
        <v>0</v>
      </c>
      <c r="AV141" s="1">
        <f>IFERROR(Table2[[#This Row],[Food_PIN]]*$W141,)</f>
        <v>0</v>
      </c>
      <c r="AW141" s="1">
        <f>IFERROR(Table2[[#This Row],[Protection_CP_PIN]]*$W141,)</f>
        <v>0</v>
      </c>
      <c r="AX141" s="1">
        <f>IFERROR(Table2[[#This Row],[Protection_GBV_PIN]]*$W141,)</f>
        <v>0</v>
      </c>
      <c r="AY141" s="1">
        <f>IFERROR(Table2[[#This Row],[Protection_MA_PIN]]*$W141,)</f>
        <v>0</v>
      </c>
      <c r="AZ141" s="1">
        <v>3</v>
      </c>
      <c r="BA141" s="1">
        <v>3</v>
      </c>
      <c r="BB141" s="1">
        <v>4</v>
      </c>
      <c r="BC141" s="1">
        <v>3</v>
      </c>
      <c r="BD141" s="1">
        <v>3</v>
      </c>
      <c r="BE141" s="1">
        <v>2</v>
      </c>
      <c r="BF141" s="1">
        <v>4</v>
      </c>
      <c r="BG141" s="1">
        <v>4</v>
      </c>
      <c r="BH141" s="1">
        <v>2</v>
      </c>
      <c r="BI141" s="1">
        <v>4</v>
      </c>
      <c r="BJ141" s="1">
        <v>4</v>
      </c>
      <c r="BK141" s="1" t="s">
        <v>665</v>
      </c>
      <c r="BL141" s="1">
        <v>2</v>
      </c>
    </row>
    <row r="142" spans="1:64" x14ac:dyDescent="0.35">
      <c r="A142" t="s">
        <v>54</v>
      </c>
      <c r="B142" t="s">
        <v>709</v>
      </c>
      <c r="C142" t="s">
        <v>55</v>
      </c>
      <c r="D142" t="s">
        <v>597</v>
      </c>
      <c r="E142" t="s">
        <v>828</v>
      </c>
      <c r="F142" t="s">
        <v>598</v>
      </c>
      <c r="G142" t="s">
        <v>597</v>
      </c>
      <c r="H142" s="1">
        <v>1136</v>
      </c>
      <c r="I142" s="1" t="s">
        <v>665</v>
      </c>
      <c r="J142" s="1">
        <v>1161</v>
      </c>
      <c r="K142" s="1">
        <v>682</v>
      </c>
      <c r="L142" s="1">
        <v>764.46619255976134</v>
      </c>
      <c r="M142" s="1">
        <v>1836.2333333333333</v>
      </c>
      <c r="N142" s="1">
        <v>33</v>
      </c>
      <c r="O142" s="1">
        <v>2087.8600326544642</v>
      </c>
      <c r="P142" s="1">
        <v>74</v>
      </c>
      <c r="Q142" s="1">
        <v>1818</v>
      </c>
      <c r="R142" s="1">
        <v>1767.1111111111109</v>
      </c>
      <c r="S142" s="1">
        <v>426.8</v>
      </c>
      <c r="T142" s="1">
        <v>911</v>
      </c>
      <c r="U142" s="1">
        <v>2022</v>
      </c>
      <c r="V142" s="3">
        <f>_xlfn.XLOOKUP(Table2[[#This Row],[admin3Pcode]],'Inter-sector dataset'!F:F,'Inter-sector dataset'!Q:Q)</f>
        <v>0</v>
      </c>
      <c r="W142" s="3">
        <f>_xlfn.XLOOKUP(Table2[[#This Row],[admin3Pcode]],'Inter-sector dataset'!F:F,'Inter-sector dataset'!R:R)</f>
        <v>0</v>
      </c>
      <c r="X142" s="1">
        <f>IFERROR(Table2[[#This Row],[Health_PIN]]*$V142,)</f>
        <v>0</v>
      </c>
      <c r="Y142" s="1">
        <f>IFERROR(Table2[[#This Row],[CCCM_PIN]]*$V142,)</f>
        <v>0</v>
      </c>
      <c r="Z142" s="1">
        <f>IFERROR(Table2[[#This Row],[ERL_PIN]]*$V142,)</f>
        <v>0</v>
      </c>
      <c r="AA142" s="1">
        <f>IFERROR(Table2[[#This Row],[NFI_PIN]]*$V142,)</f>
        <v>0</v>
      </c>
      <c r="AB142" s="1">
        <f>IFERROR(Table2[[#This Row],[Nutrition_PIN]]*$V142,)</f>
        <v>0</v>
      </c>
      <c r="AC142" s="1">
        <f>IFERROR(Table2[[#This Row],[Education_PIN]]*$V142,)</f>
        <v>0</v>
      </c>
      <c r="AD142" s="1">
        <f>IFERROR(Table2[[#This Row],[Shelter_PIN]]*$V142,)</f>
        <v>0</v>
      </c>
      <c r="AE142" s="1">
        <f>IFERROR(Table2[[#This Row],[WASH_PIN]]*$V142,)</f>
        <v>0</v>
      </c>
      <c r="AF142" s="1">
        <f>IFERROR(Table2[[#This Row],[WASH_acute_PIN]]*$V142,)</f>
        <v>0</v>
      </c>
      <c r="AG142" s="1">
        <f>IFERROR(Table2[[#This Row],[Protection_PIN]]*$V142,)</f>
        <v>0</v>
      </c>
      <c r="AH142" s="1">
        <f>IFERROR(Table2[[#This Row],[Food_PIN]]*$V142,)</f>
        <v>0</v>
      </c>
      <c r="AI142" s="1">
        <f>IFERROR(Table2[[#This Row],[Protection_CP_PIN]]*$V142,)</f>
        <v>0</v>
      </c>
      <c r="AJ142" s="1">
        <f>IFERROR(Table2[[#This Row],[Protection_GBV_PIN]]*$V142,)</f>
        <v>0</v>
      </c>
      <c r="AK142" s="1">
        <f>IFERROR(Table2[[#This Row],[Protection_MA_PIN]]*$V142,)</f>
        <v>0</v>
      </c>
      <c r="AL142" s="1">
        <f>IFERROR(Table2[[#This Row],[Health_PIN]]*$W142,)</f>
        <v>0</v>
      </c>
      <c r="AM142" s="1">
        <f>IFERROR(Table2[[#This Row],[CCCM_PIN]]*$W142,)</f>
        <v>0</v>
      </c>
      <c r="AN142" s="1">
        <f>IFERROR(Table2[[#This Row],[ERL_PIN]]*$W142,)</f>
        <v>0</v>
      </c>
      <c r="AO142" s="1">
        <f>IFERROR(Table2[[#This Row],[NFI_PIN]]*$W142,)</f>
        <v>0</v>
      </c>
      <c r="AP142" s="1">
        <f>IFERROR(Table2[[#This Row],[Nutrition_PIN]]*$W142,)</f>
        <v>0</v>
      </c>
      <c r="AQ142" s="1">
        <f>IFERROR(Table2[[#This Row],[Education_PIN]]*$W142,)</f>
        <v>0</v>
      </c>
      <c r="AR142" s="1">
        <f>IFERROR(Table2[[#This Row],[Shelter_PIN]]*$W142,)</f>
        <v>0</v>
      </c>
      <c r="AS142" s="1">
        <f>IFERROR(Table2[[#This Row],[WASH_PIN]]*$W142,)</f>
        <v>0</v>
      </c>
      <c r="AT142" s="1">
        <f>IFERROR(Table2[[#This Row],[WASH_acute_PIN]]*$W142,)</f>
        <v>0</v>
      </c>
      <c r="AU142" s="1">
        <f>IFERROR(Table2[[#This Row],[Protection_PIN]]*$W142,)</f>
        <v>0</v>
      </c>
      <c r="AV142" s="1">
        <f>IFERROR(Table2[[#This Row],[Food_PIN]]*$W142,)</f>
        <v>0</v>
      </c>
      <c r="AW142" s="1">
        <f>IFERROR(Table2[[#This Row],[Protection_CP_PIN]]*$W142,)</f>
        <v>0</v>
      </c>
      <c r="AX142" s="1">
        <f>IFERROR(Table2[[#This Row],[Protection_GBV_PIN]]*$W142,)</f>
        <v>0</v>
      </c>
      <c r="AY142" s="1">
        <f>IFERROR(Table2[[#This Row],[Protection_MA_PIN]]*$W142,)</f>
        <v>0</v>
      </c>
      <c r="AZ142" s="1">
        <v>2</v>
      </c>
      <c r="BA142" s="1">
        <v>3</v>
      </c>
      <c r="BB142" s="1">
        <v>4</v>
      </c>
      <c r="BC142" s="1">
        <v>3</v>
      </c>
      <c r="BD142" s="1">
        <v>3</v>
      </c>
      <c r="BE142" s="1">
        <v>3</v>
      </c>
      <c r="BF142" s="1">
        <v>4</v>
      </c>
      <c r="BG142" s="1">
        <v>3</v>
      </c>
      <c r="BH142" s="1">
        <v>4</v>
      </c>
      <c r="BI142" s="1">
        <v>4</v>
      </c>
      <c r="BJ142" s="1">
        <v>4</v>
      </c>
      <c r="BK142" s="1" t="s">
        <v>665</v>
      </c>
      <c r="BL142" s="1">
        <v>4</v>
      </c>
    </row>
    <row r="143" spans="1:64" x14ac:dyDescent="0.35">
      <c r="A143" t="s">
        <v>326</v>
      </c>
      <c r="B143" t="s">
        <v>726</v>
      </c>
      <c r="C143" t="s">
        <v>327</v>
      </c>
      <c r="D143" t="s">
        <v>602</v>
      </c>
      <c r="E143" t="s">
        <v>829</v>
      </c>
      <c r="F143" t="s">
        <v>603</v>
      </c>
      <c r="G143" t="s">
        <v>602</v>
      </c>
      <c r="H143" s="1">
        <v>1267.5</v>
      </c>
      <c r="I143" s="1" t="s">
        <v>665</v>
      </c>
      <c r="J143" s="1">
        <v>2298</v>
      </c>
      <c r="K143" s="1">
        <v>521</v>
      </c>
      <c r="L143" s="1">
        <v>764.70191837757443</v>
      </c>
      <c r="M143" s="1">
        <v>362.43364429640326</v>
      </c>
      <c r="N143" s="1">
        <v>521</v>
      </c>
      <c r="O143" s="1">
        <v>1960.6356247416998</v>
      </c>
      <c r="P143" s="1">
        <v>1074</v>
      </c>
      <c r="Q143" s="1">
        <v>2028</v>
      </c>
      <c r="R143" s="1">
        <v>2276.8055555555557</v>
      </c>
      <c r="S143" s="1">
        <v>791.69999999999993</v>
      </c>
      <c r="T143" s="1">
        <v>1033</v>
      </c>
      <c r="U143" s="1">
        <v>654</v>
      </c>
      <c r="V143" s="3">
        <f>_xlfn.XLOOKUP(Table2[[#This Row],[admin3Pcode]],'Inter-sector dataset'!F:F,'Inter-sector dataset'!Q:Q)</f>
        <v>0</v>
      </c>
      <c r="W143" s="3">
        <f>_xlfn.XLOOKUP(Table2[[#This Row],[admin3Pcode]],'Inter-sector dataset'!F:F,'Inter-sector dataset'!R:R)</f>
        <v>0</v>
      </c>
      <c r="X143" s="1">
        <f>IFERROR(Table2[[#This Row],[Health_PIN]]*$V143,)</f>
        <v>0</v>
      </c>
      <c r="Y143" s="1">
        <f>IFERROR(Table2[[#This Row],[CCCM_PIN]]*$V143,)</f>
        <v>0</v>
      </c>
      <c r="Z143" s="1">
        <f>IFERROR(Table2[[#This Row],[ERL_PIN]]*$V143,)</f>
        <v>0</v>
      </c>
      <c r="AA143" s="1">
        <f>IFERROR(Table2[[#This Row],[NFI_PIN]]*$V143,)</f>
        <v>0</v>
      </c>
      <c r="AB143" s="1">
        <f>IFERROR(Table2[[#This Row],[Nutrition_PIN]]*$V143,)</f>
        <v>0</v>
      </c>
      <c r="AC143" s="1">
        <f>IFERROR(Table2[[#This Row],[Education_PIN]]*$V143,)</f>
        <v>0</v>
      </c>
      <c r="AD143" s="1">
        <f>IFERROR(Table2[[#This Row],[Shelter_PIN]]*$V143,)</f>
        <v>0</v>
      </c>
      <c r="AE143" s="1">
        <f>IFERROR(Table2[[#This Row],[WASH_PIN]]*$V143,)</f>
        <v>0</v>
      </c>
      <c r="AF143" s="1">
        <f>IFERROR(Table2[[#This Row],[WASH_acute_PIN]]*$V143,)</f>
        <v>0</v>
      </c>
      <c r="AG143" s="1">
        <f>IFERROR(Table2[[#This Row],[Protection_PIN]]*$V143,)</f>
        <v>0</v>
      </c>
      <c r="AH143" s="1">
        <f>IFERROR(Table2[[#This Row],[Food_PIN]]*$V143,)</f>
        <v>0</v>
      </c>
      <c r="AI143" s="1">
        <f>IFERROR(Table2[[#This Row],[Protection_CP_PIN]]*$V143,)</f>
        <v>0</v>
      </c>
      <c r="AJ143" s="1">
        <f>IFERROR(Table2[[#This Row],[Protection_GBV_PIN]]*$V143,)</f>
        <v>0</v>
      </c>
      <c r="AK143" s="1">
        <f>IFERROR(Table2[[#This Row],[Protection_MA_PIN]]*$V143,)</f>
        <v>0</v>
      </c>
      <c r="AL143" s="1">
        <f>IFERROR(Table2[[#This Row],[Health_PIN]]*$W143,)</f>
        <v>0</v>
      </c>
      <c r="AM143" s="1">
        <f>IFERROR(Table2[[#This Row],[CCCM_PIN]]*$W143,)</f>
        <v>0</v>
      </c>
      <c r="AN143" s="1">
        <f>IFERROR(Table2[[#This Row],[ERL_PIN]]*$W143,)</f>
        <v>0</v>
      </c>
      <c r="AO143" s="1">
        <f>IFERROR(Table2[[#This Row],[NFI_PIN]]*$W143,)</f>
        <v>0</v>
      </c>
      <c r="AP143" s="1">
        <f>IFERROR(Table2[[#This Row],[Nutrition_PIN]]*$W143,)</f>
        <v>0</v>
      </c>
      <c r="AQ143" s="1">
        <f>IFERROR(Table2[[#This Row],[Education_PIN]]*$W143,)</f>
        <v>0</v>
      </c>
      <c r="AR143" s="1">
        <f>IFERROR(Table2[[#This Row],[Shelter_PIN]]*$W143,)</f>
        <v>0</v>
      </c>
      <c r="AS143" s="1">
        <f>IFERROR(Table2[[#This Row],[WASH_PIN]]*$W143,)</f>
        <v>0</v>
      </c>
      <c r="AT143" s="1">
        <f>IFERROR(Table2[[#This Row],[WASH_acute_PIN]]*$W143,)</f>
        <v>0</v>
      </c>
      <c r="AU143" s="1">
        <f>IFERROR(Table2[[#This Row],[Protection_PIN]]*$W143,)</f>
        <v>0</v>
      </c>
      <c r="AV143" s="1">
        <f>IFERROR(Table2[[#This Row],[Food_PIN]]*$W143,)</f>
        <v>0</v>
      </c>
      <c r="AW143" s="1">
        <f>IFERROR(Table2[[#This Row],[Protection_CP_PIN]]*$W143,)</f>
        <v>0</v>
      </c>
      <c r="AX143" s="1">
        <f>IFERROR(Table2[[#This Row],[Protection_GBV_PIN]]*$W143,)</f>
        <v>0</v>
      </c>
      <c r="AY143" s="1">
        <f>IFERROR(Table2[[#This Row],[Protection_MA_PIN]]*$W143,)</f>
        <v>0</v>
      </c>
      <c r="AZ143" s="1">
        <v>3</v>
      </c>
      <c r="BA143" s="1">
        <v>3</v>
      </c>
      <c r="BB143" s="1">
        <v>3</v>
      </c>
      <c r="BC143" s="1">
        <v>3</v>
      </c>
      <c r="BD143" s="1">
        <v>3</v>
      </c>
      <c r="BE143" s="1">
        <v>3</v>
      </c>
      <c r="BF143" s="1">
        <v>4</v>
      </c>
      <c r="BG143" s="1">
        <v>4</v>
      </c>
      <c r="BH143" s="1">
        <v>4</v>
      </c>
      <c r="BI143" s="1">
        <v>4</v>
      </c>
      <c r="BJ143" s="1">
        <v>4</v>
      </c>
      <c r="BK143" s="1" t="s">
        <v>665</v>
      </c>
      <c r="BL143" s="1">
        <v>4</v>
      </c>
    </row>
    <row r="144" spans="1:64" x14ac:dyDescent="0.35">
      <c r="A144" t="s">
        <v>192</v>
      </c>
      <c r="B144" t="s">
        <v>711</v>
      </c>
      <c r="C144" t="s">
        <v>193</v>
      </c>
      <c r="D144" t="s">
        <v>591</v>
      </c>
      <c r="E144" t="s">
        <v>830</v>
      </c>
      <c r="F144" t="s">
        <v>592</v>
      </c>
      <c r="G144" t="s">
        <v>591</v>
      </c>
      <c r="H144" s="1">
        <v>2534.25</v>
      </c>
      <c r="I144" s="1" t="s">
        <v>665</v>
      </c>
      <c r="J144" s="1">
        <v>2389</v>
      </c>
      <c r="K144" s="1">
        <v>676</v>
      </c>
      <c r="L144" s="1">
        <v>971.96654469703844</v>
      </c>
      <c r="M144" s="1">
        <v>509.1451704794307</v>
      </c>
      <c r="N144" s="1">
        <v>676</v>
      </c>
      <c r="O144" s="1">
        <v>123.62195121951207</v>
      </c>
      <c r="P144" s="1">
        <v>0</v>
      </c>
      <c r="Q144" s="1">
        <v>2703</v>
      </c>
      <c r="R144" s="1">
        <v>1486.7600000000002</v>
      </c>
      <c r="S144" s="1">
        <v>962.7</v>
      </c>
      <c r="T144" s="1">
        <v>1439</v>
      </c>
      <c r="U144" s="1">
        <v>3379</v>
      </c>
      <c r="V144" s="3">
        <f>_xlfn.XLOOKUP(Table2[[#This Row],[admin3Pcode]],'Inter-sector dataset'!F:F,'Inter-sector dataset'!Q:Q)</f>
        <v>0</v>
      </c>
      <c r="W144" s="3">
        <f>_xlfn.XLOOKUP(Table2[[#This Row],[admin3Pcode]],'Inter-sector dataset'!F:F,'Inter-sector dataset'!R:R)</f>
        <v>0</v>
      </c>
      <c r="X144" s="1">
        <f>IFERROR(Table2[[#This Row],[Health_PIN]]*$V144,)</f>
        <v>0</v>
      </c>
      <c r="Y144" s="1">
        <f>IFERROR(Table2[[#This Row],[CCCM_PIN]]*$V144,)</f>
        <v>0</v>
      </c>
      <c r="Z144" s="1">
        <f>IFERROR(Table2[[#This Row],[ERL_PIN]]*$V144,)</f>
        <v>0</v>
      </c>
      <c r="AA144" s="1">
        <f>IFERROR(Table2[[#This Row],[NFI_PIN]]*$V144,)</f>
        <v>0</v>
      </c>
      <c r="AB144" s="1">
        <f>IFERROR(Table2[[#This Row],[Nutrition_PIN]]*$V144,)</f>
        <v>0</v>
      </c>
      <c r="AC144" s="1">
        <f>IFERROR(Table2[[#This Row],[Education_PIN]]*$V144,)</f>
        <v>0</v>
      </c>
      <c r="AD144" s="1">
        <f>IFERROR(Table2[[#This Row],[Shelter_PIN]]*$V144,)</f>
        <v>0</v>
      </c>
      <c r="AE144" s="1">
        <f>IFERROR(Table2[[#This Row],[WASH_PIN]]*$V144,)</f>
        <v>0</v>
      </c>
      <c r="AF144" s="1">
        <f>IFERROR(Table2[[#This Row],[WASH_acute_PIN]]*$V144,)</f>
        <v>0</v>
      </c>
      <c r="AG144" s="1">
        <f>IFERROR(Table2[[#This Row],[Protection_PIN]]*$V144,)</f>
        <v>0</v>
      </c>
      <c r="AH144" s="1">
        <f>IFERROR(Table2[[#This Row],[Food_PIN]]*$V144,)</f>
        <v>0</v>
      </c>
      <c r="AI144" s="1">
        <f>IFERROR(Table2[[#This Row],[Protection_CP_PIN]]*$V144,)</f>
        <v>0</v>
      </c>
      <c r="AJ144" s="1">
        <f>IFERROR(Table2[[#This Row],[Protection_GBV_PIN]]*$V144,)</f>
        <v>0</v>
      </c>
      <c r="AK144" s="1">
        <f>IFERROR(Table2[[#This Row],[Protection_MA_PIN]]*$V144,)</f>
        <v>0</v>
      </c>
      <c r="AL144" s="1">
        <f>IFERROR(Table2[[#This Row],[Health_PIN]]*$W144,)</f>
        <v>0</v>
      </c>
      <c r="AM144" s="1">
        <f>IFERROR(Table2[[#This Row],[CCCM_PIN]]*$W144,)</f>
        <v>0</v>
      </c>
      <c r="AN144" s="1">
        <f>IFERROR(Table2[[#This Row],[ERL_PIN]]*$W144,)</f>
        <v>0</v>
      </c>
      <c r="AO144" s="1">
        <f>IFERROR(Table2[[#This Row],[NFI_PIN]]*$W144,)</f>
        <v>0</v>
      </c>
      <c r="AP144" s="1">
        <f>IFERROR(Table2[[#This Row],[Nutrition_PIN]]*$W144,)</f>
        <v>0</v>
      </c>
      <c r="AQ144" s="1">
        <f>IFERROR(Table2[[#This Row],[Education_PIN]]*$W144,)</f>
        <v>0</v>
      </c>
      <c r="AR144" s="1">
        <f>IFERROR(Table2[[#This Row],[Shelter_PIN]]*$W144,)</f>
        <v>0</v>
      </c>
      <c r="AS144" s="1">
        <f>IFERROR(Table2[[#This Row],[WASH_PIN]]*$W144,)</f>
        <v>0</v>
      </c>
      <c r="AT144" s="1">
        <f>IFERROR(Table2[[#This Row],[WASH_acute_PIN]]*$W144,)</f>
        <v>0</v>
      </c>
      <c r="AU144" s="1">
        <f>IFERROR(Table2[[#This Row],[Protection_PIN]]*$W144,)</f>
        <v>0</v>
      </c>
      <c r="AV144" s="1">
        <f>IFERROR(Table2[[#This Row],[Food_PIN]]*$W144,)</f>
        <v>0</v>
      </c>
      <c r="AW144" s="1">
        <f>IFERROR(Table2[[#This Row],[Protection_CP_PIN]]*$W144,)</f>
        <v>0</v>
      </c>
      <c r="AX144" s="1">
        <f>IFERROR(Table2[[#This Row],[Protection_GBV_PIN]]*$W144,)</f>
        <v>0</v>
      </c>
      <c r="AY144" s="1">
        <f>IFERROR(Table2[[#This Row],[Protection_MA_PIN]]*$W144,)</f>
        <v>0</v>
      </c>
      <c r="AZ144" s="1">
        <v>2</v>
      </c>
      <c r="BA144" s="1">
        <v>4</v>
      </c>
      <c r="BB144" s="1">
        <v>4</v>
      </c>
      <c r="BC144" s="1">
        <v>2</v>
      </c>
      <c r="BD144" s="1">
        <v>3</v>
      </c>
      <c r="BE144" s="1">
        <v>4</v>
      </c>
      <c r="BF144" s="1">
        <v>4</v>
      </c>
      <c r="BG144" s="1">
        <v>4</v>
      </c>
      <c r="BH144" s="1">
        <v>4</v>
      </c>
      <c r="BI144" s="1">
        <v>4</v>
      </c>
      <c r="BJ144" s="1">
        <v>3</v>
      </c>
      <c r="BK144" s="1" t="s">
        <v>665</v>
      </c>
      <c r="BL144" s="1">
        <v>2</v>
      </c>
    </row>
    <row r="145" spans="1:64" x14ac:dyDescent="0.35">
      <c r="A145" t="s">
        <v>168</v>
      </c>
      <c r="B145" t="s">
        <v>681</v>
      </c>
      <c r="C145" t="s">
        <v>169</v>
      </c>
      <c r="D145" t="s">
        <v>583</v>
      </c>
      <c r="E145" t="s">
        <v>831</v>
      </c>
      <c r="F145" t="s">
        <v>584</v>
      </c>
      <c r="G145" t="s">
        <v>583</v>
      </c>
      <c r="H145" s="1">
        <v>2840.25</v>
      </c>
      <c r="I145" s="1" t="s">
        <v>665</v>
      </c>
      <c r="J145" s="1">
        <v>3214</v>
      </c>
      <c r="K145" s="1">
        <v>508</v>
      </c>
      <c r="L145" s="1">
        <v>1052.8692388930399</v>
      </c>
      <c r="M145" s="1">
        <v>423.30501577367272</v>
      </c>
      <c r="N145" s="1">
        <v>899</v>
      </c>
      <c r="O145" s="1">
        <v>3525.1086848564823</v>
      </c>
      <c r="P145" s="1">
        <v>210</v>
      </c>
      <c r="Q145" s="1">
        <v>3030</v>
      </c>
      <c r="R145" s="1">
        <v>2461.5500000000002</v>
      </c>
      <c r="S145" s="1">
        <v>1290.3000000000002</v>
      </c>
      <c r="T145" s="1">
        <v>1012</v>
      </c>
      <c r="U145" s="1">
        <v>1659</v>
      </c>
      <c r="V145" s="3">
        <f>_xlfn.XLOOKUP(Table2[[#This Row],[admin3Pcode]],'Inter-sector dataset'!F:F,'Inter-sector dataset'!Q:Q)</f>
        <v>0.78</v>
      </c>
      <c r="W145" s="3">
        <f>_xlfn.XLOOKUP(Table2[[#This Row],[admin3Pcode]],'Inter-sector dataset'!F:F,'Inter-sector dataset'!R:R)</f>
        <v>0</v>
      </c>
      <c r="X145" s="1">
        <f>IFERROR(Table2[[#This Row],[Health_PIN]]*$V145,)</f>
        <v>2215.395</v>
      </c>
      <c r="Y145" s="1">
        <f>IFERROR(Table2[[#This Row],[CCCM_PIN]]*$V145,)</f>
        <v>0</v>
      </c>
      <c r="Z145" s="1">
        <f>IFERROR(Table2[[#This Row],[ERL_PIN]]*$V145,)</f>
        <v>2506.92</v>
      </c>
      <c r="AA145" s="1">
        <f>IFERROR(Table2[[#This Row],[NFI_PIN]]*$V145,)</f>
        <v>396.24</v>
      </c>
      <c r="AB145" s="1">
        <f>IFERROR(Table2[[#This Row],[Nutrition_PIN]]*$V145,)</f>
        <v>821.23800633657117</v>
      </c>
      <c r="AC145" s="1">
        <f>IFERROR(Table2[[#This Row],[Education_PIN]]*$V145,)</f>
        <v>330.17791230346472</v>
      </c>
      <c r="AD145" s="1">
        <f>IFERROR(Table2[[#This Row],[Shelter_PIN]]*$V145,)</f>
        <v>701.22</v>
      </c>
      <c r="AE145" s="1">
        <f>IFERROR(Table2[[#This Row],[WASH_PIN]]*$V145,)</f>
        <v>2749.5847741880561</v>
      </c>
      <c r="AF145" s="1">
        <f>IFERROR(Table2[[#This Row],[WASH_acute_PIN]]*$V145,)</f>
        <v>163.80000000000001</v>
      </c>
      <c r="AG145" s="1">
        <f>IFERROR(Table2[[#This Row],[Protection_PIN]]*$V145,)</f>
        <v>2363.4</v>
      </c>
      <c r="AH145" s="1">
        <f>IFERROR(Table2[[#This Row],[Food_PIN]]*$V145,)</f>
        <v>1920.0090000000002</v>
      </c>
      <c r="AI145" s="1">
        <f>IFERROR(Table2[[#This Row],[Protection_CP_PIN]]*$V145,)</f>
        <v>1006.4340000000002</v>
      </c>
      <c r="AJ145" s="1">
        <f>IFERROR(Table2[[#This Row],[Protection_GBV_PIN]]*$V145,)</f>
        <v>789.36</v>
      </c>
      <c r="AK145" s="1">
        <f>IFERROR(Table2[[#This Row],[Protection_MA_PIN]]*$V145,)</f>
        <v>1294.02</v>
      </c>
      <c r="AL145" s="1">
        <f>IFERROR(Table2[[#This Row],[Health_PIN]]*$W145,)</f>
        <v>0</v>
      </c>
      <c r="AM145" s="1">
        <f>IFERROR(Table2[[#This Row],[CCCM_PIN]]*$W145,)</f>
        <v>0</v>
      </c>
      <c r="AN145" s="1">
        <f>IFERROR(Table2[[#This Row],[ERL_PIN]]*$W145,)</f>
        <v>0</v>
      </c>
      <c r="AO145" s="1">
        <f>IFERROR(Table2[[#This Row],[NFI_PIN]]*$W145,)</f>
        <v>0</v>
      </c>
      <c r="AP145" s="1">
        <f>IFERROR(Table2[[#This Row],[Nutrition_PIN]]*$W145,)</f>
        <v>0</v>
      </c>
      <c r="AQ145" s="1">
        <f>IFERROR(Table2[[#This Row],[Education_PIN]]*$W145,)</f>
        <v>0</v>
      </c>
      <c r="AR145" s="1">
        <f>IFERROR(Table2[[#This Row],[Shelter_PIN]]*$W145,)</f>
        <v>0</v>
      </c>
      <c r="AS145" s="1">
        <f>IFERROR(Table2[[#This Row],[WASH_PIN]]*$W145,)</f>
        <v>0</v>
      </c>
      <c r="AT145" s="1">
        <f>IFERROR(Table2[[#This Row],[WASH_acute_PIN]]*$W145,)</f>
        <v>0</v>
      </c>
      <c r="AU145" s="1">
        <f>IFERROR(Table2[[#This Row],[Protection_PIN]]*$W145,)</f>
        <v>0</v>
      </c>
      <c r="AV145" s="1">
        <f>IFERROR(Table2[[#This Row],[Food_PIN]]*$W145,)</f>
        <v>0</v>
      </c>
      <c r="AW145" s="1">
        <f>IFERROR(Table2[[#This Row],[Protection_CP_PIN]]*$W145,)</f>
        <v>0</v>
      </c>
      <c r="AX145" s="1">
        <f>IFERROR(Table2[[#This Row],[Protection_GBV_PIN]]*$W145,)</f>
        <v>0</v>
      </c>
      <c r="AY145" s="1">
        <f>IFERROR(Table2[[#This Row],[Protection_MA_PIN]]*$W145,)</f>
        <v>0</v>
      </c>
      <c r="AZ145" s="1">
        <v>3</v>
      </c>
      <c r="BA145" s="1">
        <v>4</v>
      </c>
      <c r="BB145" s="1">
        <v>4</v>
      </c>
      <c r="BC145" s="1">
        <v>3</v>
      </c>
      <c r="BD145" s="1">
        <v>3</v>
      </c>
      <c r="BE145" s="1">
        <v>4</v>
      </c>
      <c r="BF145" s="1">
        <v>4</v>
      </c>
      <c r="BG145" s="1">
        <v>4</v>
      </c>
      <c r="BH145" s="1">
        <v>3</v>
      </c>
      <c r="BI145" s="1">
        <v>4</v>
      </c>
      <c r="BJ145" s="1">
        <v>4</v>
      </c>
      <c r="BK145" s="1" t="s">
        <v>665</v>
      </c>
      <c r="BL145" s="1">
        <v>4</v>
      </c>
    </row>
    <row r="146" spans="1:64" x14ac:dyDescent="0.35">
      <c r="A146" t="s">
        <v>17</v>
      </c>
      <c r="B146" t="s">
        <v>663</v>
      </c>
      <c r="C146" t="s">
        <v>18</v>
      </c>
      <c r="D146" t="s">
        <v>593</v>
      </c>
      <c r="E146" t="s">
        <v>832</v>
      </c>
      <c r="F146" t="s">
        <v>594</v>
      </c>
      <c r="G146" t="s">
        <v>593</v>
      </c>
      <c r="H146" s="1">
        <v>1970</v>
      </c>
      <c r="I146" s="1" t="s">
        <v>665</v>
      </c>
      <c r="J146" s="1">
        <v>2451</v>
      </c>
      <c r="K146" s="1">
        <v>40</v>
      </c>
      <c r="L146" s="1">
        <v>959.39226904356531</v>
      </c>
      <c r="M146" s="1">
        <v>311.30207398659434</v>
      </c>
      <c r="N146" s="1">
        <v>788</v>
      </c>
      <c r="O146" s="1">
        <v>236.50395778364083</v>
      </c>
      <c r="P146" s="1">
        <v>0</v>
      </c>
      <c r="Q146" s="1">
        <v>3152</v>
      </c>
      <c r="R146" s="1">
        <v>3356.2962962962961</v>
      </c>
      <c r="S146" s="1">
        <v>1068</v>
      </c>
      <c r="T146" s="1">
        <v>1195</v>
      </c>
      <c r="U146" s="1">
        <v>3940</v>
      </c>
      <c r="V146" s="3">
        <f>_xlfn.XLOOKUP(Table2[[#This Row],[admin3Pcode]],'Inter-sector dataset'!F:F,'Inter-sector dataset'!Q:Q)</f>
        <v>0</v>
      </c>
      <c r="W146" s="3">
        <f>_xlfn.XLOOKUP(Table2[[#This Row],[admin3Pcode]],'Inter-sector dataset'!F:F,'Inter-sector dataset'!R:R)</f>
        <v>0</v>
      </c>
      <c r="X146" s="1">
        <f>IFERROR(Table2[[#This Row],[Health_PIN]]*$V146,)</f>
        <v>0</v>
      </c>
      <c r="Y146" s="1">
        <f>IFERROR(Table2[[#This Row],[CCCM_PIN]]*$V146,)</f>
        <v>0</v>
      </c>
      <c r="Z146" s="1">
        <f>IFERROR(Table2[[#This Row],[ERL_PIN]]*$V146,)</f>
        <v>0</v>
      </c>
      <c r="AA146" s="1">
        <f>IFERROR(Table2[[#This Row],[NFI_PIN]]*$V146,)</f>
        <v>0</v>
      </c>
      <c r="AB146" s="1">
        <f>IFERROR(Table2[[#This Row],[Nutrition_PIN]]*$V146,)</f>
        <v>0</v>
      </c>
      <c r="AC146" s="1">
        <f>IFERROR(Table2[[#This Row],[Education_PIN]]*$V146,)</f>
        <v>0</v>
      </c>
      <c r="AD146" s="1">
        <f>IFERROR(Table2[[#This Row],[Shelter_PIN]]*$V146,)</f>
        <v>0</v>
      </c>
      <c r="AE146" s="1">
        <f>IFERROR(Table2[[#This Row],[WASH_PIN]]*$V146,)</f>
        <v>0</v>
      </c>
      <c r="AF146" s="1">
        <f>IFERROR(Table2[[#This Row],[WASH_acute_PIN]]*$V146,)</f>
        <v>0</v>
      </c>
      <c r="AG146" s="1">
        <f>IFERROR(Table2[[#This Row],[Protection_PIN]]*$V146,)</f>
        <v>0</v>
      </c>
      <c r="AH146" s="1">
        <f>IFERROR(Table2[[#This Row],[Food_PIN]]*$V146,)</f>
        <v>0</v>
      </c>
      <c r="AI146" s="1">
        <f>IFERROR(Table2[[#This Row],[Protection_CP_PIN]]*$V146,)</f>
        <v>0</v>
      </c>
      <c r="AJ146" s="1">
        <f>IFERROR(Table2[[#This Row],[Protection_GBV_PIN]]*$V146,)</f>
        <v>0</v>
      </c>
      <c r="AK146" s="1">
        <f>IFERROR(Table2[[#This Row],[Protection_MA_PIN]]*$V146,)</f>
        <v>0</v>
      </c>
      <c r="AL146" s="1">
        <f>IFERROR(Table2[[#This Row],[Health_PIN]]*$W146,)</f>
        <v>0</v>
      </c>
      <c r="AM146" s="1">
        <f>IFERROR(Table2[[#This Row],[CCCM_PIN]]*$W146,)</f>
        <v>0</v>
      </c>
      <c r="AN146" s="1">
        <f>IFERROR(Table2[[#This Row],[ERL_PIN]]*$W146,)</f>
        <v>0</v>
      </c>
      <c r="AO146" s="1">
        <f>IFERROR(Table2[[#This Row],[NFI_PIN]]*$W146,)</f>
        <v>0</v>
      </c>
      <c r="AP146" s="1">
        <f>IFERROR(Table2[[#This Row],[Nutrition_PIN]]*$W146,)</f>
        <v>0</v>
      </c>
      <c r="AQ146" s="1">
        <f>IFERROR(Table2[[#This Row],[Education_PIN]]*$W146,)</f>
        <v>0</v>
      </c>
      <c r="AR146" s="1">
        <f>IFERROR(Table2[[#This Row],[Shelter_PIN]]*$W146,)</f>
        <v>0</v>
      </c>
      <c r="AS146" s="1">
        <f>IFERROR(Table2[[#This Row],[WASH_PIN]]*$W146,)</f>
        <v>0</v>
      </c>
      <c r="AT146" s="1">
        <f>IFERROR(Table2[[#This Row],[WASH_acute_PIN]]*$W146,)</f>
        <v>0</v>
      </c>
      <c r="AU146" s="1">
        <f>IFERROR(Table2[[#This Row],[Protection_PIN]]*$W146,)</f>
        <v>0</v>
      </c>
      <c r="AV146" s="1">
        <f>IFERROR(Table2[[#This Row],[Food_PIN]]*$W146,)</f>
        <v>0</v>
      </c>
      <c r="AW146" s="1">
        <f>IFERROR(Table2[[#This Row],[Protection_CP_PIN]]*$W146,)</f>
        <v>0</v>
      </c>
      <c r="AX146" s="1">
        <f>IFERROR(Table2[[#This Row],[Protection_GBV_PIN]]*$W146,)</f>
        <v>0</v>
      </c>
      <c r="AY146" s="1">
        <f>IFERROR(Table2[[#This Row],[Protection_MA_PIN]]*$W146,)</f>
        <v>0</v>
      </c>
      <c r="AZ146" s="1">
        <v>2</v>
      </c>
      <c r="BA146" s="1">
        <v>4</v>
      </c>
      <c r="BB146" s="1">
        <v>4</v>
      </c>
      <c r="BC146" s="1">
        <v>2</v>
      </c>
      <c r="BD146" s="1">
        <v>3</v>
      </c>
      <c r="BE146" s="1">
        <v>3</v>
      </c>
      <c r="BF146" s="1">
        <v>4</v>
      </c>
      <c r="BG146" s="1">
        <v>4</v>
      </c>
      <c r="BH146" s="1">
        <v>3</v>
      </c>
      <c r="BI146" s="1">
        <v>4</v>
      </c>
      <c r="BJ146" s="1">
        <v>3</v>
      </c>
      <c r="BK146" s="1" t="s">
        <v>665</v>
      </c>
      <c r="BL146" s="1">
        <v>2</v>
      </c>
    </row>
    <row r="147" spans="1:64" x14ac:dyDescent="0.35">
      <c r="A147" t="s">
        <v>205</v>
      </c>
      <c r="B147" t="s">
        <v>723</v>
      </c>
      <c r="C147" t="s">
        <v>206</v>
      </c>
      <c r="D147" t="s">
        <v>561</v>
      </c>
      <c r="E147" t="s">
        <v>833</v>
      </c>
      <c r="F147" t="s">
        <v>562</v>
      </c>
      <c r="G147" t="s">
        <v>561</v>
      </c>
      <c r="H147" s="1">
        <v>0</v>
      </c>
      <c r="I147" s="1" t="s">
        <v>665</v>
      </c>
      <c r="J147" s="1">
        <v>4741</v>
      </c>
      <c r="K147" s="1">
        <v>0</v>
      </c>
      <c r="L147" s="1">
        <v>1220.8167160671783</v>
      </c>
      <c r="M147" s="1">
        <v>1650.2333333333333</v>
      </c>
      <c r="N147" s="1">
        <v>0</v>
      </c>
      <c r="O147" s="1">
        <v>2998.4870689655158</v>
      </c>
      <c r="P147" s="1">
        <v>855</v>
      </c>
      <c r="Q147" s="1">
        <v>3862</v>
      </c>
      <c r="R147" s="1">
        <v>3531.5925925925926</v>
      </c>
      <c r="S147" s="1">
        <v>1701.2</v>
      </c>
      <c r="T147" s="1">
        <v>2013</v>
      </c>
      <c r="U147" s="1">
        <v>4828</v>
      </c>
      <c r="V147" s="3">
        <f>_xlfn.XLOOKUP(Table2[[#This Row],[admin3Pcode]],'Inter-sector dataset'!F:F,'Inter-sector dataset'!Q:Q)</f>
        <v>0</v>
      </c>
      <c r="W147" s="3">
        <f>_xlfn.XLOOKUP(Table2[[#This Row],[admin3Pcode]],'Inter-sector dataset'!F:F,'Inter-sector dataset'!R:R)</f>
        <v>0</v>
      </c>
      <c r="X147" s="1">
        <f>IFERROR(Table2[[#This Row],[Health_PIN]]*$V147,)</f>
        <v>0</v>
      </c>
      <c r="Y147" s="1">
        <f>IFERROR(Table2[[#This Row],[CCCM_PIN]]*$V147,)</f>
        <v>0</v>
      </c>
      <c r="Z147" s="1">
        <f>IFERROR(Table2[[#This Row],[ERL_PIN]]*$V147,)</f>
        <v>0</v>
      </c>
      <c r="AA147" s="1">
        <f>IFERROR(Table2[[#This Row],[NFI_PIN]]*$V147,)</f>
        <v>0</v>
      </c>
      <c r="AB147" s="1">
        <f>IFERROR(Table2[[#This Row],[Nutrition_PIN]]*$V147,)</f>
        <v>0</v>
      </c>
      <c r="AC147" s="1">
        <f>IFERROR(Table2[[#This Row],[Education_PIN]]*$V147,)</f>
        <v>0</v>
      </c>
      <c r="AD147" s="1">
        <f>IFERROR(Table2[[#This Row],[Shelter_PIN]]*$V147,)</f>
        <v>0</v>
      </c>
      <c r="AE147" s="1">
        <f>IFERROR(Table2[[#This Row],[WASH_PIN]]*$V147,)</f>
        <v>0</v>
      </c>
      <c r="AF147" s="1">
        <f>IFERROR(Table2[[#This Row],[WASH_acute_PIN]]*$V147,)</f>
        <v>0</v>
      </c>
      <c r="AG147" s="1">
        <f>IFERROR(Table2[[#This Row],[Protection_PIN]]*$V147,)</f>
        <v>0</v>
      </c>
      <c r="AH147" s="1">
        <f>IFERROR(Table2[[#This Row],[Food_PIN]]*$V147,)</f>
        <v>0</v>
      </c>
      <c r="AI147" s="1">
        <f>IFERROR(Table2[[#This Row],[Protection_CP_PIN]]*$V147,)</f>
        <v>0</v>
      </c>
      <c r="AJ147" s="1">
        <f>IFERROR(Table2[[#This Row],[Protection_GBV_PIN]]*$V147,)</f>
        <v>0</v>
      </c>
      <c r="AK147" s="1">
        <f>IFERROR(Table2[[#This Row],[Protection_MA_PIN]]*$V147,)</f>
        <v>0</v>
      </c>
      <c r="AL147" s="1">
        <f>IFERROR(Table2[[#This Row],[Health_PIN]]*$W147,)</f>
        <v>0</v>
      </c>
      <c r="AM147" s="1">
        <f>IFERROR(Table2[[#This Row],[CCCM_PIN]]*$W147,)</f>
        <v>0</v>
      </c>
      <c r="AN147" s="1">
        <f>IFERROR(Table2[[#This Row],[ERL_PIN]]*$W147,)</f>
        <v>0</v>
      </c>
      <c r="AO147" s="1">
        <f>IFERROR(Table2[[#This Row],[NFI_PIN]]*$W147,)</f>
        <v>0</v>
      </c>
      <c r="AP147" s="1">
        <f>IFERROR(Table2[[#This Row],[Nutrition_PIN]]*$W147,)</f>
        <v>0</v>
      </c>
      <c r="AQ147" s="1">
        <f>IFERROR(Table2[[#This Row],[Education_PIN]]*$W147,)</f>
        <v>0</v>
      </c>
      <c r="AR147" s="1">
        <f>IFERROR(Table2[[#This Row],[Shelter_PIN]]*$W147,)</f>
        <v>0</v>
      </c>
      <c r="AS147" s="1">
        <f>IFERROR(Table2[[#This Row],[WASH_PIN]]*$W147,)</f>
        <v>0</v>
      </c>
      <c r="AT147" s="1">
        <f>IFERROR(Table2[[#This Row],[WASH_acute_PIN]]*$W147,)</f>
        <v>0</v>
      </c>
      <c r="AU147" s="1">
        <f>IFERROR(Table2[[#This Row],[Protection_PIN]]*$W147,)</f>
        <v>0</v>
      </c>
      <c r="AV147" s="1">
        <f>IFERROR(Table2[[#This Row],[Food_PIN]]*$W147,)</f>
        <v>0</v>
      </c>
      <c r="AW147" s="1">
        <f>IFERROR(Table2[[#This Row],[Protection_CP_PIN]]*$W147,)</f>
        <v>0</v>
      </c>
      <c r="AX147" s="1">
        <f>IFERROR(Table2[[#This Row],[Protection_GBV_PIN]]*$W147,)</f>
        <v>0</v>
      </c>
      <c r="AY147" s="1">
        <f>IFERROR(Table2[[#This Row],[Protection_MA_PIN]]*$W147,)</f>
        <v>0</v>
      </c>
      <c r="AZ147" s="1">
        <v>1</v>
      </c>
      <c r="BA147" s="1">
        <v>3</v>
      </c>
      <c r="BB147" s="1">
        <v>3</v>
      </c>
      <c r="BC147" s="1">
        <v>1</v>
      </c>
      <c r="BD147" s="1">
        <v>3</v>
      </c>
      <c r="BE147" s="1">
        <v>2</v>
      </c>
      <c r="BF147" s="1">
        <v>4</v>
      </c>
      <c r="BG147" s="1">
        <v>5</v>
      </c>
      <c r="BH147" s="1">
        <v>4</v>
      </c>
      <c r="BI147" s="1">
        <v>4</v>
      </c>
      <c r="BJ147" s="1">
        <v>4</v>
      </c>
      <c r="BK147" s="1" t="s">
        <v>665</v>
      </c>
      <c r="BL147" s="1">
        <v>3</v>
      </c>
    </row>
    <row r="148" spans="1:64" x14ac:dyDescent="0.35">
      <c r="A148" t="s">
        <v>54</v>
      </c>
      <c r="B148" t="s">
        <v>709</v>
      </c>
      <c r="C148" t="s">
        <v>55</v>
      </c>
      <c r="D148" t="s">
        <v>567</v>
      </c>
      <c r="E148" t="s">
        <v>834</v>
      </c>
      <c r="F148" t="s">
        <v>568</v>
      </c>
      <c r="G148" t="s">
        <v>567</v>
      </c>
      <c r="H148" s="1">
        <v>2476</v>
      </c>
      <c r="I148" s="1" t="s">
        <v>665</v>
      </c>
      <c r="J148" s="1">
        <v>3350</v>
      </c>
      <c r="K148" s="1">
        <v>1486</v>
      </c>
      <c r="L148" s="1">
        <v>941.176120204943</v>
      </c>
      <c r="M148" s="1">
        <v>3847.1</v>
      </c>
      <c r="N148" s="1">
        <v>990</v>
      </c>
      <c r="O148" s="1">
        <v>980.38750425872058</v>
      </c>
      <c r="P148" s="1">
        <v>0</v>
      </c>
      <c r="Q148" s="1">
        <v>3962</v>
      </c>
      <c r="R148" s="1">
        <v>2109.1851851851852</v>
      </c>
      <c r="S148" s="1">
        <v>1100.4000000000001</v>
      </c>
      <c r="T148" s="1">
        <v>1846</v>
      </c>
      <c r="U148" s="1">
        <v>3863</v>
      </c>
      <c r="V148" s="3">
        <f>_xlfn.XLOOKUP(Table2[[#This Row],[admin3Pcode]],'Inter-sector dataset'!F:F,'Inter-sector dataset'!Q:Q)</f>
        <v>0</v>
      </c>
      <c r="W148" s="3">
        <f>_xlfn.XLOOKUP(Table2[[#This Row],[admin3Pcode]],'Inter-sector dataset'!F:F,'Inter-sector dataset'!R:R)</f>
        <v>0</v>
      </c>
      <c r="X148" s="1">
        <f>IFERROR(Table2[[#This Row],[Health_PIN]]*$V148,)</f>
        <v>0</v>
      </c>
      <c r="Y148" s="1">
        <f>IFERROR(Table2[[#This Row],[CCCM_PIN]]*$V148,)</f>
        <v>0</v>
      </c>
      <c r="Z148" s="1">
        <f>IFERROR(Table2[[#This Row],[ERL_PIN]]*$V148,)</f>
        <v>0</v>
      </c>
      <c r="AA148" s="1">
        <f>IFERROR(Table2[[#This Row],[NFI_PIN]]*$V148,)</f>
        <v>0</v>
      </c>
      <c r="AB148" s="1">
        <f>IFERROR(Table2[[#This Row],[Nutrition_PIN]]*$V148,)</f>
        <v>0</v>
      </c>
      <c r="AC148" s="1">
        <f>IFERROR(Table2[[#This Row],[Education_PIN]]*$V148,)</f>
        <v>0</v>
      </c>
      <c r="AD148" s="1">
        <f>IFERROR(Table2[[#This Row],[Shelter_PIN]]*$V148,)</f>
        <v>0</v>
      </c>
      <c r="AE148" s="1">
        <f>IFERROR(Table2[[#This Row],[WASH_PIN]]*$V148,)</f>
        <v>0</v>
      </c>
      <c r="AF148" s="1">
        <f>IFERROR(Table2[[#This Row],[WASH_acute_PIN]]*$V148,)</f>
        <v>0</v>
      </c>
      <c r="AG148" s="1">
        <f>IFERROR(Table2[[#This Row],[Protection_PIN]]*$V148,)</f>
        <v>0</v>
      </c>
      <c r="AH148" s="1">
        <f>IFERROR(Table2[[#This Row],[Food_PIN]]*$V148,)</f>
        <v>0</v>
      </c>
      <c r="AI148" s="1">
        <f>IFERROR(Table2[[#This Row],[Protection_CP_PIN]]*$V148,)</f>
        <v>0</v>
      </c>
      <c r="AJ148" s="1">
        <f>IFERROR(Table2[[#This Row],[Protection_GBV_PIN]]*$V148,)</f>
        <v>0</v>
      </c>
      <c r="AK148" s="1">
        <f>IFERROR(Table2[[#This Row],[Protection_MA_PIN]]*$V148,)</f>
        <v>0</v>
      </c>
      <c r="AL148" s="1">
        <f>IFERROR(Table2[[#This Row],[Health_PIN]]*$W148,)</f>
        <v>0</v>
      </c>
      <c r="AM148" s="1">
        <f>IFERROR(Table2[[#This Row],[CCCM_PIN]]*$W148,)</f>
        <v>0</v>
      </c>
      <c r="AN148" s="1">
        <f>IFERROR(Table2[[#This Row],[ERL_PIN]]*$W148,)</f>
        <v>0</v>
      </c>
      <c r="AO148" s="1">
        <f>IFERROR(Table2[[#This Row],[NFI_PIN]]*$W148,)</f>
        <v>0</v>
      </c>
      <c r="AP148" s="1">
        <f>IFERROR(Table2[[#This Row],[Nutrition_PIN]]*$W148,)</f>
        <v>0</v>
      </c>
      <c r="AQ148" s="1">
        <f>IFERROR(Table2[[#This Row],[Education_PIN]]*$W148,)</f>
        <v>0</v>
      </c>
      <c r="AR148" s="1">
        <f>IFERROR(Table2[[#This Row],[Shelter_PIN]]*$W148,)</f>
        <v>0</v>
      </c>
      <c r="AS148" s="1">
        <f>IFERROR(Table2[[#This Row],[WASH_PIN]]*$W148,)</f>
        <v>0</v>
      </c>
      <c r="AT148" s="1">
        <f>IFERROR(Table2[[#This Row],[WASH_acute_PIN]]*$W148,)</f>
        <v>0</v>
      </c>
      <c r="AU148" s="1">
        <f>IFERROR(Table2[[#This Row],[Protection_PIN]]*$W148,)</f>
        <v>0</v>
      </c>
      <c r="AV148" s="1">
        <f>IFERROR(Table2[[#This Row],[Food_PIN]]*$W148,)</f>
        <v>0</v>
      </c>
      <c r="AW148" s="1">
        <f>IFERROR(Table2[[#This Row],[Protection_CP_PIN]]*$W148,)</f>
        <v>0</v>
      </c>
      <c r="AX148" s="1">
        <f>IFERROR(Table2[[#This Row],[Protection_GBV_PIN]]*$W148,)</f>
        <v>0</v>
      </c>
      <c r="AY148" s="1">
        <f>IFERROR(Table2[[#This Row],[Protection_MA_PIN]]*$W148,)</f>
        <v>0</v>
      </c>
      <c r="AZ148" s="1">
        <v>2</v>
      </c>
      <c r="BA148" s="1">
        <v>5</v>
      </c>
      <c r="BB148" s="1">
        <v>3</v>
      </c>
      <c r="BC148" s="1">
        <v>3</v>
      </c>
      <c r="BD148" s="1">
        <v>3</v>
      </c>
      <c r="BE148" s="1">
        <v>3</v>
      </c>
      <c r="BF148" s="1">
        <v>4</v>
      </c>
      <c r="BG148" s="1">
        <v>4</v>
      </c>
      <c r="BH148" s="1">
        <v>4</v>
      </c>
      <c r="BI148" s="1">
        <v>4</v>
      </c>
      <c r="BJ148" s="1">
        <v>3</v>
      </c>
      <c r="BK148" s="1" t="s">
        <v>665</v>
      </c>
      <c r="BL148" s="1">
        <v>2</v>
      </c>
    </row>
    <row r="149" spans="1:64" x14ac:dyDescent="0.35">
      <c r="A149" t="s">
        <v>104</v>
      </c>
      <c r="B149" t="s">
        <v>677</v>
      </c>
      <c r="C149" t="s">
        <v>105</v>
      </c>
      <c r="D149" t="s">
        <v>559</v>
      </c>
      <c r="E149" t="s">
        <v>835</v>
      </c>
      <c r="F149" t="s">
        <v>560</v>
      </c>
      <c r="G149" t="s">
        <v>559</v>
      </c>
      <c r="H149" s="1">
        <v>0</v>
      </c>
      <c r="I149" s="1" t="s">
        <v>665</v>
      </c>
      <c r="J149" s="1">
        <v>4440</v>
      </c>
      <c r="K149" s="1">
        <v>1176</v>
      </c>
      <c r="L149" s="1">
        <v>1519.0339469630671</v>
      </c>
      <c r="M149" s="1">
        <v>1237.2613618791806</v>
      </c>
      <c r="N149" s="1">
        <v>1176</v>
      </c>
      <c r="O149" s="1">
        <v>5080.9461588113891</v>
      </c>
      <c r="P149" s="1">
        <v>3553</v>
      </c>
      <c r="Q149" s="1">
        <v>4703</v>
      </c>
      <c r="R149" s="1">
        <v>2993.9351851851848</v>
      </c>
      <c r="S149" s="1">
        <v>973.2</v>
      </c>
      <c r="T149" s="1">
        <v>3385</v>
      </c>
      <c r="U149" s="1">
        <v>5879</v>
      </c>
      <c r="V149" s="3">
        <f>_xlfn.XLOOKUP(Table2[[#This Row],[admin3Pcode]],'Inter-sector dataset'!F:F,'Inter-sector dataset'!Q:Q)</f>
        <v>0</v>
      </c>
      <c r="W149" s="3">
        <f>_xlfn.XLOOKUP(Table2[[#This Row],[admin3Pcode]],'Inter-sector dataset'!F:F,'Inter-sector dataset'!R:R)</f>
        <v>0</v>
      </c>
      <c r="X149" s="1">
        <f>IFERROR(Table2[[#This Row],[Health_PIN]]*$V149,)</f>
        <v>0</v>
      </c>
      <c r="Y149" s="1">
        <f>IFERROR(Table2[[#This Row],[CCCM_PIN]]*$V149,)</f>
        <v>0</v>
      </c>
      <c r="Z149" s="1">
        <f>IFERROR(Table2[[#This Row],[ERL_PIN]]*$V149,)</f>
        <v>0</v>
      </c>
      <c r="AA149" s="1">
        <f>IFERROR(Table2[[#This Row],[NFI_PIN]]*$V149,)</f>
        <v>0</v>
      </c>
      <c r="AB149" s="1">
        <f>IFERROR(Table2[[#This Row],[Nutrition_PIN]]*$V149,)</f>
        <v>0</v>
      </c>
      <c r="AC149" s="1">
        <f>IFERROR(Table2[[#This Row],[Education_PIN]]*$V149,)</f>
        <v>0</v>
      </c>
      <c r="AD149" s="1">
        <f>IFERROR(Table2[[#This Row],[Shelter_PIN]]*$V149,)</f>
        <v>0</v>
      </c>
      <c r="AE149" s="1">
        <f>IFERROR(Table2[[#This Row],[WASH_PIN]]*$V149,)</f>
        <v>0</v>
      </c>
      <c r="AF149" s="1">
        <f>IFERROR(Table2[[#This Row],[WASH_acute_PIN]]*$V149,)</f>
        <v>0</v>
      </c>
      <c r="AG149" s="1">
        <f>IFERROR(Table2[[#This Row],[Protection_PIN]]*$V149,)</f>
        <v>0</v>
      </c>
      <c r="AH149" s="1">
        <f>IFERROR(Table2[[#This Row],[Food_PIN]]*$V149,)</f>
        <v>0</v>
      </c>
      <c r="AI149" s="1">
        <f>IFERROR(Table2[[#This Row],[Protection_CP_PIN]]*$V149,)</f>
        <v>0</v>
      </c>
      <c r="AJ149" s="1">
        <f>IFERROR(Table2[[#This Row],[Protection_GBV_PIN]]*$V149,)</f>
        <v>0</v>
      </c>
      <c r="AK149" s="1">
        <f>IFERROR(Table2[[#This Row],[Protection_MA_PIN]]*$V149,)</f>
        <v>0</v>
      </c>
      <c r="AL149" s="1">
        <f>IFERROR(Table2[[#This Row],[Health_PIN]]*$W149,)</f>
        <v>0</v>
      </c>
      <c r="AM149" s="1">
        <f>IFERROR(Table2[[#This Row],[CCCM_PIN]]*$W149,)</f>
        <v>0</v>
      </c>
      <c r="AN149" s="1">
        <f>IFERROR(Table2[[#This Row],[ERL_PIN]]*$W149,)</f>
        <v>0</v>
      </c>
      <c r="AO149" s="1">
        <f>IFERROR(Table2[[#This Row],[NFI_PIN]]*$W149,)</f>
        <v>0</v>
      </c>
      <c r="AP149" s="1">
        <f>IFERROR(Table2[[#This Row],[Nutrition_PIN]]*$W149,)</f>
        <v>0</v>
      </c>
      <c r="AQ149" s="1">
        <f>IFERROR(Table2[[#This Row],[Education_PIN]]*$W149,)</f>
        <v>0</v>
      </c>
      <c r="AR149" s="1">
        <f>IFERROR(Table2[[#This Row],[Shelter_PIN]]*$W149,)</f>
        <v>0</v>
      </c>
      <c r="AS149" s="1">
        <f>IFERROR(Table2[[#This Row],[WASH_PIN]]*$W149,)</f>
        <v>0</v>
      </c>
      <c r="AT149" s="1">
        <f>IFERROR(Table2[[#This Row],[WASH_acute_PIN]]*$W149,)</f>
        <v>0</v>
      </c>
      <c r="AU149" s="1">
        <f>IFERROR(Table2[[#This Row],[Protection_PIN]]*$W149,)</f>
        <v>0</v>
      </c>
      <c r="AV149" s="1">
        <f>IFERROR(Table2[[#This Row],[Food_PIN]]*$W149,)</f>
        <v>0</v>
      </c>
      <c r="AW149" s="1">
        <f>IFERROR(Table2[[#This Row],[Protection_CP_PIN]]*$W149,)</f>
        <v>0</v>
      </c>
      <c r="AX149" s="1">
        <f>IFERROR(Table2[[#This Row],[Protection_GBV_PIN]]*$W149,)</f>
        <v>0</v>
      </c>
      <c r="AY149" s="1">
        <f>IFERROR(Table2[[#This Row],[Protection_MA_PIN]]*$W149,)</f>
        <v>0</v>
      </c>
      <c r="AZ149" s="1">
        <v>2</v>
      </c>
      <c r="BA149" s="1">
        <v>3</v>
      </c>
      <c r="BB149" s="1">
        <v>4</v>
      </c>
      <c r="BC149" s="1">
        <v>2</v>
      </c>
      <c r="BD149" s="1">
        <v>3</v>
      </c>
      <c r="BE149" s="1">
        <v>2</v>
      </c>
      <c r="BF149" s="1">
        <v>4</v>
      </c>
      <c r="BG149" s="1">
        <v>3</v>
      </c>
      <c r="BH149" s="1">
        <v>5</v>
      </c>
      <c r="BI149" s="1">
        <v>4</v>
      </c>
      <c r="BJ149" s="1">
        <v>3</v>
      </c>
      <c r="BK149" s="1" t="s">
        <v>665</v>
      </c>
      <c r="BL149" s="1">
        <v>4</v>
      </c>
    </row>
    <row r="150" spans="1:64" x14ac:dyDescent="0.35">
      <c r="A150" t="s">
        <v>104</v>
      </c>
      <c r="B150" t="s">
        <v>677</v>
      </c>
      <c r="C150" t="s">
        <v>105</v>
      </c>
      <c r="D150" t="s">
        <v>551</v>
      </c>
      <c r="E150" t="s">
        <v>836</v>
      </c>
      <c r="F150" t="s">
        <v>552</v>
      </c>
      <c r="G150" t="s">
        <v>551</v>
      </c>
      <c r="H150" s="1">
        <v>3719.5</v>
      </c>
      <c r="I150" s="1" t="s">
        <v>665</v>
      </c>
      <c r="J150" s="1">
        <v>6842</v>
      </c>
      <c r="K150" s="1">
        <v>1524</v>
      </c>
      <c r="L150" s="1">
        <v>1239.1093992314945</v>
      </c>
      <c r="M150" s="1">
        <v>996.0953278800514</v>
      </c>
      <c r="N150" s="1">
        <v>1488</v>
      </c>
      <c r="O150" s="1">
        <v>361.10060539350593</v>
      </c>
      <c r="P150" s="1">
        <v>0</v>
      </c>
      <c r="Q150" s="1">
        <v>5951</v>
      </c>
      <c r="R150" s="1">
        <v>4436.100917431193</v>
      </c>
      <c r="S150" s="1">
        <v>1795.5</v>
      </c>
      <c r="T150" s="1">
        <v>2735</v>
      </c>
      <c r="U150" s="1">
        <v>7439</v>
      </c>
      <c r="V150" s="3">
        <f>_xlfn.XLOOKUP(Table2[[#This Row],[admin3Pcode]],'Inter-sector dataset'!F:F,'Inter-sector dataset'!Q:Q)</f>
        <v>0</v>
      </c>
      <c r="W150" s="3">
        <f>_xlfn.XLOOKUP(Table2[[#This Row],[admin3Pcode]],'Inter-sector dataset'!F:F,'Inter-sector dataset'!R:R)</f>
        <v>0</v>
      </c>
      <c r="X150" s="1">
        <f>IFERROR(Table2[[#This Row],[Health_PIN]]*$V150,)</f>
        <v>0</v>
      </c>
      <c r="Y150" s="1">
        <f>IFERROR(Table2[[#This Row],[CCCM_PIN]]*$V150,)</f>
        <v>0</v>
      </c>
      <c r="Z150" s="1">
        <f>IFERROR(Table2[[#This Row],[ERL_PIN]]*$V150,)</f>
        <v>0</v>
      </c>
      <c r="AA150" s="1">
        <f>IFERROR(Table2[[#This Row],[NFI_PIN]]*$V150,)</f>
        <v>0</v>
      </c>
      <c r="AB150" s="1">
        <f>IFERROR(Table2[[#This Row],[Nutrition_PIN]]*$V150,)</f>
        <v>0</v>
      </c>
      <c r="AC150" s="1">
        <f>IFERROR(Table2[[#This Row],[Education_PIN]]*$V150,)</f>
        <v>0</v>
      </c>
      <c r="AD150" s="1">
        <f>IFERROR(Table2[[#This Row],[Shelter_PIN]]*$V150,)</f>
        <v>0</v>
      </c>
      <c r="AE150" s="1">
        <f>IFERROR(Table2[[#This Row],[WASH_PIN]]*$V150,)</f>
        <v>0</v>
      </c>
      <c r="AF150" s="1">
        <f>IFERROR(Table2[[#This Row],[WASH_acute_PIN]]*$V150,)</f>
        <v>0</v>
      </c>
      <c r="AG150" s="1">
        <f>IFERROR(Table2[[#This Row],[Protection_PIN]]*$V150,)</f>
        <v>0</v>
      </c>
      <c r="AH150" s="1">
        <f>IFERROR(Table2[[#This Row],[Food_PIN]]*$V150,)</f>
        <v>0</v>
      </c>
      <c r="AI150" s="1">
        <f>IFERROR(Table2[[#This Row],[Protection_CP_PIN]]*$V150,)</f>
        <v>0</v>
      </c>
      <c r="AJ150" s="1">
        <f>IFERROR(Table2[[#This Row],[Protection_GBV_PIN]]*$V150,)</f>
        <v>0</v>
      </c>
      <c r="AK150" s="1">
        <f>IFERROR(Table2[[#This Row],[Protection_MA_PIN]]*$V150,)</f>
        <v>0</v>
      </c>
      <c r="AL150" s="1">
        <f>IFERROR(Table2[[#This Row],[Health_PIN]]*$W150,)</f>
        <v>0</v>
      </c>
      <c r="AM150" s="1">
        <f>IFERROR(Table2[[#This Row],[CCCM_PIN]]*$W150,)</f>
        <v>0</v>
      </c>
      <c r="AN150" s="1">
        <f>IFERROR(Table2[[#This Row],[ERL_PIN]]*$W150,)</f>
        <v>0</v>
      </c>
      <c r="AO150" s="1">
        <f>IFERROR(Table2[[#This Row],[NFI_PIN]]*$W150,)</f>
        <v>0</v>
      </c>
      <c r="AP150" s="1">
        <f>IFERROR(Table2[[#This Row],[Nutrition_PIN]]*$W150,)</f>
        <v>0</v>
      </c>
      <c r="AQ150" s="1">
        <f>IFERROR(Table2[[#This Row],[Education_PIN]]*$W150,)</f>
        <v>0</v>
      </c>
      <c r="AR150" s="1">
        <f>IFERROR(Table2[[#This Row],[Shelter_PIN]]*$W150,)</f>
        <v>0</v>
      </c>
      <c r="AS150" s="1">
        <f>IFERROR(Table2[[#This Row],[WASH_PIN]]*$W150,)</f>
        <v>0</v>
      </c>
      <c r="AT150" s="1">
        <f>IFERROR(Table2[[#This Row],[WASH_acute_PIN]]*$W150,)</f>
        <v>0</v>
      </c>
      <c r="AU150" s="1">
        <f>IFERROR(Table2[[#This Row],[Protection_PIN]]*$W150,)</f>
        <v>0</v>
      </c>
      <c r="AV150" s="1">
        <f>IFERROR(Table2[[#This Row],[Food_PIN]]*$W150,)</f>
        <v>0</v>
      </c>
      <c r="AW150" s="1">
        <f>IFERROR(Table2[[#This Row],[Protection_CP_PIN]]*$W150,)</f>
        <v>0</v>
      </c>
      <c r="AX150" s="1">
        <f>IFERROR(Table2[[#This Row],[Protection_GBV_PIN]]*$W150,)</f>
        <v>0</v>
      </c>
      <c r="AY150" s="1">
        <f>IFERROR(Table2[[#This Row],[Protection_MA_PIN]]*$W150,)</f>
        <v>0</v>
      </c>
      <c r="AZ150" s="1">
        <v>2</v>
      </c>
      <c r="BA150" s="1">
        <v>3</v>
      </c>
      <c r="BB150" s="1">
        <v>4</v>
      </c>
      <c r="BC150" s="1">
        <v>3</v>
      </c>
      <c r="BD150" s="1">
        <v>3</v>
      </c>
      <c r="BE150" s="1">
        <v>3</v>
      </c>
      <c r="BF150" s="1">
        <v>4</v>
      </c>
      <c r="BG150" s="1">
        <v>4</v>
      </c>
      <c r="BH150" s="1">
        <v>4</v>
      </c>
      <c r="BI150" s="1">
        <v>4</v>
      </c>
      <c r="BJ150" s="1">
        <v>3</v>
      </c>
      <c r="BK150" s="1" t="s">
        <v>665</v>
      </c>
      <c r="BL150" s="1">
        <v>2</v>
      </c>
    </row>
    <row r="151" spans="1:64" x14ac:dyDescent="0.35">
      <c r="A151" t="s">
        <v>54</v>
      </c>
      <c r="B151" t="s">
        <v>709</v>
      </c>
      <c r="C151" t="s">
        <v>55</v>
      </c>
      <c r="D151" t="s">
        <v>538</v>
      </c>
      <c r="E151" t="s">
        <v>837</v>
      </c>
      <c r="F151" t="s">
        <v>539</v>
      </c>
      <c r="G151" t="s">
        <v>538</v>
      </c>
      <c r="H151" s="1">
        <v>5216.5</v>
      </c>
      <c r="I151" s="1" t="s">
        <v>665</v>
      </c>
      <c r="J151" s="1">
        <v>4917</v>
      </c>
      <c r="K151" s="1">
        <v>3130</v>
      </c>
      <c r="L151" s="1">
        <v>3811.6415360135602</v>
      </c>
      <c r="M151" s="1">
        <v>1951.2858597794295</v>
      </c>
      <c r="N151" s="1">
        <v>818</v>
      </c>
      <c r="O151" s="1">
        <v>8266.3517321297877</v>
      </c>
      <c r="P151" s="1">
        <v>944</v>
      </c>
      <c r="Q151" s="1">
        <v>8346</v>
      </c>
      <c r="R151" s="1">
        <v>9571.5596330275221</v>
      </c>
      <c r="S151" s="1">
        <v>3773.2000000000003</v>
      </c>
      <c r="T151" s="1">
        <v>2731</v>
      </c>
      <c r="U151" s="1">
        <v>7868</v>
      </c>
      <c r="V151" s="3">
        <f>_xlfn.XLOOKUP(Table2[[#This Row],[admin3Pcode]],'Inter-sector dataset'!F:F,'Inter-sector dataset'!Q:Q)</f>
        <v>0</v>
      </c>
      <c r="W151" s="3">
        <f>_xlfn.XLOOKUP(Table2[[#This Row],[admin3Pcode]],'Inter-sector dataset'!F:F,'Inter-sector dataset'!R:R)</f>
        <v>0</v>
      </c>
      <c r="X151" s="1">
        <f>IFERROR(Table2[[#This Row],[Health_PIN]]*$V151,)</f>
        <v>0</v>
      </c>
      <c r="Y151" s="1">
        <f>IFERROR(Table2[[#This Row],[CCCM_PIN]]*$V151,)</f>
        <v>0</v>
      </c>
      <c r="Z151" s="1">
        <f>IFERROR(Table2[[#This Row],[ERL_PIN]]*$V151,)</f>
        <v>0</v>
      </c>
      <c r="AA151" s="1">
        <f>IFERROR(Table2[[#This Row],[NFI_PIN]]*$V151,)</f>
        <v>0</v>
      </c>
      <c r="AB151" s="1">
        <f>IFERROR(Table2[[#This Row],[Nutrition_PIN]]*$V151,)</f>
        <v>0</v>
      </c>
      <c r="AC151" s="1">
        <f>IFERROR(Table2[[#This Row],[Education_PIN]]*$V151,)</f>
        <v>0</v>
      </c>
      <c r="AD151" s="1">
        <f>IFERROR(Table2[[#This Row],[Shelter_PIN]]*$V151,)</f>
        <v>0</v>
      </c>
      <c r="AE151" s="1">
        <f>IFERROR(Table2[[#This Row],[WASH_PIN]]*$V151,)</f>
        <v>0</v>
      </c>
      <c r="AF151" s="1">
        <f>IFERROR(Table2[[#This Row],[WASH_acute_PIN]]*$V151,)</f>
        <v>0</v>
      </c>
      <c r="AG151" s="1">
        <f>IFERROR(Table2[[#This Row],[Protection_PIN]]*$V151,)</f>
        <v>0</v>
      </c>
      <c r="AH151" s="1">
        <f>IFERROR(Table2[[#This Row],[Food_PIN]]*$V151,)</f>
        <v>0</v>
      </c>
      <c r="AI151" s="1">
        <f>IFERROR(Table2[[#This Row],[Protection_CP_PIN]]*$V151,)</f>
        <v>0</v>
      </c>
      <c r="AJ151" s="1">
        <f>IFERROR(Table2[[#This Row],[Protection_GBV_PIN]]*$V151,)</f>
        <v>0</v>
      </c>
      <c r="AK151" s="1">
        <f>IFERROR(Table2[[#This Row],[Protection_MA_PIN]]*$V151,)</f>
        <v>0</v>
      </c>
      <c r="AL151" s="1">
        <f>IFERROR(Table2[[#This Row],[Health_PIN]]*$W151,)</f>
        <v>0</v>
      </c>
      <c r="AM151" s="1">
        <f>IFERROR(Table2[[#This Row],[CCCM_PIN]]*$W151,)</f>
        <v>0</v>
      </c>
      <c r="AN151" s="1">
        <f>IFERROR(Table2[[#This Row],[ERL_PIN]]*$W151,)</f>
        <v>0</v>
      </c>
      <c r="AO151" s="1">
        <f>IFERROR(Table2[[#This Row],[NFI_PIN]]*$W151,)</f>
        <v>0</v>
      </c>
      <c r="AP151" s="1">
        <f>IFERROR(Table2[[#This Row],[Nutrition_PIN]]*$W151,)</f>
        <v>0</v>
      </c>
      <c r="AQ151" s="1">
        <f>IFERROR(Table2[[#This Row],[Education_PIN]]*$W151,)</f>
        <v>0</v>
      </c>
      <c r="AR151" s="1">
        <f>IFERROR(Table2[[#This Row],[Shelter_PIN]]*$W151,)</f>
        <v>0</v>
      </c>
      <c r="AS151" s="1">
        <f>IFERROR(Table2[[#This Row],[WASH_PIN]]*$W151,)</f>
        <v>0</v>
      </c>
      <c r="AT151" s="1">
        <f>IFERROR(Table2[[#This Row],[WASH_acute_PIN]]*$W151,)</f>
        <v>0</v>
      </c>
      <c r="AU151" s="1">
        <f>IFERROR(Table2[[#This Row],[Protection_PIN]]*$W151,)</f>
        <v>0</v>
      </c>
      <c r="AV151" s="1">
        <f>IFERROR(Table2[[#This Row],[Food_PIN]]*$W151,)</f>
        <v>0</v>
      </c>
      <c r="AW151" s="1">
        <f>IFERROR(Table2[[#This Row],[Protection_CP_PIN]]*$W151,)</f>
        <v>0</v>
      </c>
      <c r="AX151" s="1">
        <f>IFERROR(Table2[[#This Row],[Protection_GBV_PIN]]*$W151,)</f>
        <v>0</v>
      </c>
      <c r="AY151" s="1">
        <f>IFERROR(Table2[[#This Row],[Protection_MA_PIN]]*$W151,)</f>
        <v>0</v>
      </c>
      <c r="AZ151" s="1">
        <v>3</v>
      </c>
      <c r="BA151" s="1">
        <v>3</v>
      </c>
      <c r="BB151" s="1">
        <v>4</v>
      </c>
      <c r="BC151" s="1">
        <v>3</v>
      </c>
      <c r="BD151" s="1">
        <v>3</v>
      </c>
      <c r="BE151" s="1">
        <v>3</v>
      </c>
      <c r="BF151" s="1">
        <v>4</v>
      </c>
      <c r="BG151" s="1">
        <v>5</v>
      </c>
      <c r="BH151" s="1">
        <v>3</v>
      </c>
      <c r="BI151" s="1">
        <v>4</v>
      </c>
      <c r="BJ151" s="1">
        <v>4</v>
      </c>
      <c r="BK151" s="1" t="s">
        <v>665</v>
      </c>
      <c r="BL151" s="1">
        <v>3</v>
      </c>
    </row>
    <row r="152" spans="1:64" x14ac:dyDescent="0.35">
      <c r="A152" t="s">
        <v>28</v>
      </c>
      <c r="B152" t="s">
        <v>761</v>
      </c>
      <c r="C152" t="s">
        <v>29</v>
      </c>
      <c r="D152" t="s">
        <v>269</v>
      </c>
      <c r="E152" t="s">
        <v>838</v>
      </c>
      <c r="F152" t="s">
        <v>270</v>
      </c>
      <c r="G152" t="s">
        <v>269</v>
      </c>
      <c r="H152" s="1">
        <v>5751.5</v>
      </c>
      <c r="I152" s="1" t="s">
        <v>665</v>
      </c>
      <c r="J152" s="1">
        <v>11161</v>
      </c>
      <c r="K152" s="1">
        <v>3451</v>
      </c>
      <c r="L152" s="1">
        <v>4168.6219203704422</v>
      </c>
      <c r="M152" s="1">
        <v>4949.1499999999996</v>
      </c>
      <c r="N152" s="1">
        <v>2301</v>
      </c>
      <c r="O152" s="1">
        <v>11503</v>
      </c>
      <c r="P152" s="1">
        <v>10593</v>
      </c>
      <c r="Q152" s="1">
        <v>9202</v>
      </c>
      <c r="R152" s="1">
        <v>8201.2129629629635</v>
      </c>
      <c r="S152" s="1">
        <v>2675.2</v>
      </c>
      <c r="T152" s="1">
        <v>5009</v>
      </c>
      <c r="U152" s="1">
        <v>11390</v>
      </c>
      <c r="V152" s="3">
        <f>_xlfn.XLOOKUP(Table2[[#This Row],[admin3Pcode]],'Inter-sector dataset'!F:F,'Inter-sector dataset'!Q:Q)</f>
        <v>0</v>
      </c>
      <c r="W152" s="3">
        <f>_xlfn.XLOOKUP(Table2[[#This Row],[admin3Pcode]],'Inter-sector dataset'!F:F,'Inter-sector dataset'!R:R)</f>
        <v>0</v>
      </c>
      <c r="X152" s="1">
        <f>IFERROR(Table2[[#This Row],[Health_PIN]]*$V152,)</f>
        <v>0</v>
      </c>
      <c r="Y152" s="1">
        <f>IFERROR(Table2[[#This Row],[CCCM_PIN]]*$V152,)</f>
        <v>0</v>
      </c>
      <c r="Z152" s="1">
        <f>IFERROR(Table2[[#This Row],[ERL_PIN]]*$V152,)</f>
        <v>0</v>
      </c>
      <c r="AA152" s="1">
        <f>IFERROR(Table2[[#This Row],[NFI_PIN]]*$V152,)</f>
        <v>0</v>
      </c>
      <c r="AB152" s="1">
        <f>IFERROR(Table2[[#This Row],[Nutrition_PIN]]*$V152,)</f>
        <v>0</v>
      </c>
      <c r="AC152" s="1">
        <f>IFERROR(Table2[[#This Row],[Education_PIN]]*$V152,)</f>
        <v>0</v>
      </c>
      <c r="AD152" s="1">
        <f>IFERROR(Table2[[#This Row],[Shelter_PIN]]*$V152,)</f>
        <v>0</v>
      </c>
      <c r="AE152" s="1">
        <f>IFERROR(Table2[[#This Row],[WASH_PIN]]*$V152,)</f>
        <v>0</v>
      </c>
      <c r="AF152" s="1">
        <f>IFERROR(Table2[[#This Row],[WASH_acute_PIN]]*$V152,)</f>
        <v>0</v>
      </c>
      <c r="AG152" s="1">
        <f>IFERROR(Table2[[#This Row],[Protection_PIN]]*$V152,)</f>
        <v>0</v>
      </c>
      <c r="AH152" s="1">
        <f>IFERROR(Table2[[#This Row],[Food_PIN]]*$V152,)</f>
        <v>0</v>
      </c>
      <c r="AI152" s="1">
        <f>IFERROR(Table2[[#This Row],[Protection_CP_PIN]]*$V152,)</f>
        <v>0</v>
      </c>
      <c r="AJ152" s="1">
        <f>IFERROR(Table2[[#This Row],[Protection_GBV_PIN]]*$V152,)</f>
        <v>0</v>
      </c>
      <c r="AK152" s="1">
        <f>IFERROR(Table2[[#This Row],[Protection_MA_PIN]]*$V152,)</f>
        <v>0</v>
      </c>
      <c r="AL152" s="1">
        <f>IFERROR(Table2[[#This Row],[Health_PIN]]*$W152,)</f>
        <v>0</v>
      </c>
      <c r="AM152" s="1">
        <f>IFERROR(Table2[[#This Row],[CCCM_PIN]]*$W152,)</f>
        <v>0</v>
      </c>
      <c r="AN152" s="1">
        <f>IFERROR(Table2[[#This Row],[ERL_PIN]]*$W152,)</f>
        <v>0</v>
      </c>
      <c r="AO152" s="1">
        <f>IFERROR(Table2[[#This Row],[NFI_PIN]]*$W152,)</f>
        <v>0</v>
      </c>
      <c r="AP152" s="1">
        <f>IFERROR(Table2[[#This Row],[Nutrition_PIN]]*$W152,)</f>
        <v>0</v>
      </c>
      <c r="AQ152" s="1">
        <f>IFERROR(Table2[[#This Row],[Education_PIN]]*$W152,)</f>
        <v>0</v>
      </c>
      <c r="AR152" s="1">
        <f>IFERROR(Table2[[#This Row],[Shelter_PIN]]*$W152,)</f>
        <v>0</v>
      </c>
      <c r="AS152" s="1">
        <f>IFERROR(Table2[[#This Row],[WASH_PIN]]*$W152,)</f>
        <v>0</v>
      </c>
      <c r="AT152" s="1">
        <f>IFERROR(Table2[[#This Row],[WASH_acute_PIN]]*$W152,)</f>
        <v>0</v>
      </c>
      <c r="AU152" s="1">
        <f>IFERROR(Table2[[#This Row],[Protection_PIN]]*$W152,)</f>
        <v>0</v>
      </c>
      <c r="AV152" s="1">
        <f>IFERROR(Table2[[#This Row],[Food_PIN]]*$W152,)</f>
        <v>0</v>
      </c>
      <c r="AW152" s="1">
        <f>IFERROR(Table2[[#This Row],[Protection_CP_PIN]]*$W152,)</f>
        <v>0</v>
      </c>
      <c r="AX152" s="1">
        <f>IFERROR(Table2[[#This Row],[Protection_GBV_PIN]]*$W152,)</f>
        <v>0</v>
      </c>
      <c r="AY152" s="1">
        <f>IFERROR(Table2[[#This Row],[Protection_MA_PIN]]*$W152,)</f>
        <v>0</v>
      </c>
      <c r="AZ152" s="1">
        <v>2</v>
      </c>
      <c r="BA152" s="1">
        <v>5</v>
      </c>
      <c r="BB152" s="1">
        <v>4</v>
      </c>
      <c r="BC152" s="1">
        <v>3</v>
      </c>
      <c r="BD152" s="1">
        <v>3</v>
      </c>
      <c r="BE152" s="1">
        <v>3</v>
      </c>
      <c r="BF152" s="1">
        <v>4</v>
      </c>
      <c r="BG152" s="1">
        <v>3</v>
      </c>
      <c r="BH152" s="1">
        <v>4</v>
      </c>
      <c r="BI152" s="1">
        <v>4</v>
      </c>
      <c r="BJ152" s="1">
        <v>4</v>
      </c>
      <c r="BK152" s="1" t="s">
        <v>665</v>
      </c>
      <c r="BL152" s="1">
        <v>4</v>
      </c>
    </row>
    <row r="153" spans="1:64" x14ac:dyDescent="0.35">
      <c r="A153" t="s">
        <v>168</v>
      </c>
      <c r="B153" t="s">
        <v>681</v>
      </c>
      <c r="C153" t="s">
        <v>169</v>
      </c>
      <c r="D153" t="s">
        <v>171</v>
      </c>
      <c r="E153" t="s">
        <v>839</v>
      </c>
      <c r="F153" t="s">
        <v>172</v>
      </c>
      <c r="G153" t="s">
        <v>171</v>
      </c>
      <c r="H153" s="1">
        <v>8643</v>
      </c>
      <c r="I153" s="1" t="s">
        <v>665</v>
      </c>
      <c r="J153" s="1">
        <v>9809</v>
      </c>
      <c r="K153" s="1">
        <v>2320</v>
      </c>
      <c r="L153" s="1">
        <v>3519.4792012972948</v>
      </c>
      <c r="M153" s="1">
        <v>3356.7906781635916</v>
      </c>
      <c r="N153" s="1">
        <v>2320</v>
      </c>
      <c r="O153" s="1">
        <v>6602.6400325893028</v>
      </c>
      <c r="P153" s="1">
        <v>1500</v>
      </c>
      <c r="Q153" s="1">
        <v>9219</v>
      </c>
      <c r="R153" s="1">
        <v>8536.2962962962956</v>
      </c>
      <c r="S153" s="1">
        <v>2459.6000000000004</v>
      </c>
      <c r="T153" s="1">
        <v>3337</v>
      </c>
      <c r="U153" s="1">
        <v>9621</v>
      </c>
      <c r="V153" s="3">
        <f>_xlfn.XLOOKUP(Table2[[#This Row],[admin3Pcode]],'Inter-sector dataset'!F:F,'Inter-sector dataset'!Q:Q)</f>
        <v>0</v>
      </c>
      <c r="W153" s="3">
        <f>_xlfn.XLOOKUP(Table2[[#This Row],[admin3Pcode]],'Inter-sector dataset'!F:F,'Inter-sector dataset'!R:R)</f>
        <v>0</v>
      </c>
      <c r="X153" s="1">
        <f>IFERROR(Table2[[#This Row],[Health_PIN]]*$V153,)</f>
        <v>0</v>
      </c>
      <c r="Y153" s="1">
        <f>IFERROR(Table2[[#This Row],[CCCM_PIN]]*$V153,)</f>
        <v>0</v>
      </c>
      <c r="Z153" s="1">
        <f>IFERROR(Table2[[#This Row],[ERL_PIN]]*$V153,)</f>
        <v>0</v>
      </c>
      <c r="AA153" s="1">
        <f>IFERROR(Table2[[#This Row],[NFI_PIN]]*$V153,)</f>
        <v>0</v>
      </c>
      <c r="AB153" s="1">
        <f>IFERROR(Table2[[#This Row],[Nutrition_PIN]]*$V153,)</f>
        <v>0</v>
      </c>
      <c r="AC153" s="1">
        <f>IFERROR(Table2[[#This Row],[Education_PIN]]*$V153,)</f>
        <v>0</v>
      </c>
      <c r="AD153" s="1">
        <f>IFERROR(Table2[[#This Row],[Shelter_PIN]]*$V153,)</f>
        <v>0</v>
      </c>
      <c r="AE153" s="1">
        <f>IFERROR(Table2[[#This Row],[WASH_PIN]]*$V153,)</f>
        <v>0</v>
      </c>
      <c r="AF153" s="1">
        <f>IFERROR(Table2[[#This Row],[WASH_acute_PIN]]*$V153,)</f>
        <v>0</v>
      </c>
      <c r="AG153" s="1">
        <f>IFERROR(Table2[[#This Row],[Protection_PIN]]*$V153,)</f>
        <v>0</v>
      </c>
      <c r="AH153" s="1">
        <f>IFERROR(Table2[[#This Row],[Food_PIN]]*$V153,)</f>
        <v>0</v>
      </c>
      <c r="AI153" s="1">
        <f>IFERROR(Table2[[#This Row],[Protection_CP_PIN]]*$V153,)</f>
        <v>0</v>
      </c>
      <c r="AJ153" s="1">
        <f>IFERROR(Table2[[#This Row],[Protection_GBV_PIN]]*$V153,)</f>
        <v>0</v>
      </c>
      <c r="AK153" s="1">
        <f>IFERROR(Table2[[#This Row],[Protection_MA_PIN]]*$V153,)</f>
        <v>0</v>
      </c>
      <c r="AL153" s="1">
        <f>IFERROR(Table2[[#This Row],[Health_PIN]]*$W153,)</f>
        <v>0</v>
      </c>
      <c r="AM153" s="1">
        <f>IFERROR(Table2[[#This Row],[CCCM_PIN]]*$W153,)</f>
        <v>0</v>
      </c>
      <c r="AN153" s="1">
        <f>IFERROR(Table2[[#This Row],[ERL_PIN]]*$W153,)</f>
        <v>0</v>
      </c>
      <c r="AO153" s="1">
        <f>IFERROR(Table2[[#This Row],[NFI_PIN]]*$W153,)</f>
        <v>0</v>
      </c>
      <c r="AP153" s="1">
        <f>IFERROR(Table2[[#This Row],[Nutrition_PIN]]*$W153,)</f>
        <v>0</v>
      </c>
      <c r="AQ153" s="1">
        <f>IFERROR(Table2[[#This Row],[Education_PIN]]*$W153,)</f>
        <v>0</v>
      </c>
      <c r="AR153" s="1">
        <f>IFERROR(Table2[[#This Row],[Shelter_PIN]]*$W153,)</f>
        <v>0</v>
      </c>
      <c r="AS153" s="1">
        <f>IFERROR(Table2[[#This Row],[WASH_PIN]]*$W153,)</f>
        <v>0</v>
      </c>
      <c r="AT153" s="1">
        <f>IFERROR(Table2[[#This Row],[WASH_acute_PIN]]*$W153,)</f>
        <v>0</v>
      </c>
      <c r="AU153" s="1">
        <f>IFERROR(Table2[[#This Row],[Protection_PIN]]*$W153,)</f>
        <v>0</v>
      </c>
      <c r="AV153" s="1">
        <f>IFERROR(Table2[[#This Row],[Food_PIN]]*$W153,)</f>
        <v>0</v>
      </c>
      <c r="AW153" s="1">
        <f>IFERROR(Table2[[#This Row],[Protection_CP_PIN]]*$W153,)</f>
        <v>0</v>
      </c>
      <c r="AX153" s="1">
        <f>IFERROR(Table2[[#This Row],[Protection_GBV_PIN]]*$W153,)</f>
        <v>0</v>
      </c>
      <c r="AY153" s="1">
        <f>IFERROR(Table2[[#This Row],[Protection_MA_PIN]]*$W153,)</f>
        <v>0</v>
      </c>
      <c r="AZ153" s="1">
        <v>3</v>
      </c>
      <c r="BA153" s="1">
        <v>3</v>
      </c>
      <c r="BB153" s="1">
        <v>4</v>
      </c>
      <c r="BC153" s="1">
        <v>3</v>
      </c>
      <c r="BD153" s="1">
        <v>3</v>
      </c>
      <c r="BE153" s="1">
        <v>4</v>
      </c>
      <c r="BF153" s="1">
        <v>4</v>
      </c>
      <c r="BG153" s="1">
        <v>3</v>
      </c>
      <c r="BH153" s="1">
        <v>3</v>
      </c>
      <c r="BI153" s="1">
        <v>4</v>
      </c>
      <c r="BJ153" s="1">
        <v>3</v>
      </c>
      <c r="BK153" s="1" t="s">
        <v>665</v>
      </c>
      <c r="BL153" s="1">
        <v>3</v>
      </c>
    </row>
    <row r="154" spans="1:64" x14ac:dyDescent="0.35">
      <c r="A154" t="s">
        <v>54</v>
      </c>
      <c r="B154" t="s">
        <v>709</v>
      </c>
      <c r="C154" t="s">
        <v>55</v>
      </c>
      <c r="D154" t="s">
        <v>397</v>
      </c>
      <c r="E154" t="s">
        <v>840</v>
      </c>
      <c r="F154" t="s">
        <v>398</v>
      </c>
      <c r="G154" t="s">
        <v>397</v>
      </c>
      <c r="H154" s="1">
        <v>8790</v>
      </c>
      <c r="I154" s="1" t="s">
        <v>665</v>
      </c>
      <c r="J154" s="1">
        <v>6668</v>
      </c>
      <c r="K154" s="1">
        <v>2122</v>
      </c>
      <c r="L154" s="1">
        <v>2440.9920203421029</v>
      </c>
      <c r="M154" s="1">
        <v>3743.7666666666669</v>
      </c>
      <c r="N154" s="1">
        <v>3405</v>
      </c>
      <c r="O154" s="1">
        <v>11720</v>
      </c>
      <c r="P154" s="1">
        <v>7246</v>
      </c>
      <c r="Q154" s="1">
        <v>9376</v>
      </c>
      <c r="R154" s="1">
        <v>9522.5</v>
      </c>
      <c r="S154" s="1">
        <v>2093.1999999999998</v>
      </c>
      <c r="T154" s="1">
        <v>4793</v>
      </c>
      <c r="U154" s="1">
        <v>11231</v>
      </c>
      <c r="V154" s="3">
        <f>_xlfn.XLOOKUP(Table2[[#This Row],[admin3Pcode]],'Inter-sector dataset'!F:F,'Inter-sector dataset'!Q:Q)</f>
        <v>1</v>
      </c>
      <c r="W154" s="3">
        <f>_xlfn.XLOOKUP(Table2[[#This Row],[admin3Pcode]],'Inter-sector dataset'!F:F,'Inter-sector dataset'!R:R)</f>
        <v>0</v>
      </c>
      <c r="X154" s="1">
        <f>IFERROR(Table2[[#This Row],[Health_PIN]]*$V154,)</f>
        <v>8790</v>
      </c>
      <c r="Y154" s="1">
        <f>IFERROR(Table2[[#This Row],[CCCM_PIN]]*$V154,)</f>
        <v>0</v>
      </c>
      <c r="Z154" s="1">
        <f>IFERROR(Table2[[#This Row],[ERL_PIN]]*$V154,)</f>
        <v>6668</v>
      </c>
      <c r="AA154" s="1">
        <f>IFERROR(Table2[[#This Row],[NFI_PIN]]*$V154,)</f>
        <v>2122</v>
      </c>
      <c r="AB154" s="1">
        <f>IFERROR(Table2[[#This Row],[Nutrition_PIN]]*$V154,)</f>
        <v>2440.9920203421029</v>
      </c>
      <c r="AC154" s="1">
        <f>IFERROR(Table2[[#This Row],[Education_PIN]]*$V154,)</f>
        <v>3743.7666666666669</v>
      </c>
      <c r="AD154" s="1">
        <f>IFERROR(Table2[[#This Row],[Shelter_PIN]]*$V154,)</f>
        <v>3405</v>
      </c>
      <c r="AE154" s="1">
        <f>IFERROR(Table2[[#This Row],[WASH_PIN]]*$V154,)</f>
        <v>11720</v>
      </c>
      <c r="AF154" s="1">
        <f>IFERROR(Table2[[#This Row],[WASH_acute_PIN]]*$V154,)</f>
        <v>7246</v>
      </c>
      <c r="AG154" s="1">
        <f>IFERROR(Table2[[#This Row],[Protection_PIN]]*$V154,)</f>
        <v>9376</v>
      </c>
      <c r="AH154" s="1">
        <f>IFERROR(Table2[[#This Row],[Food_PIN]]*$V154,)</f>
        <v>9522.5</v>
      </c>
      <c r="AI154" s="1">
        <f>IFERROR(Table2[[#This Row],[Protection_CP_PIN]]*$V154,)</f>
        <v>2093.1999999999998</v>
      </c>
      <c r="AJ154" s="1">
        <f>IFERROR(Table2[[#This Row],[Protection_GBV_PIN]]*$V154,)</f>
        <v>4793</v>
      </c>
      <c r="AK154" s="1">
        <f>IFERROR(Table2[[#This Row],[Protection_MA_PIN]]*$V154,)</f>
        <v>11231</v>
      </c>
      <c r="AL154" s="1">
        <f>IFERROR(Table2[[#This Row],[Health_PIN]]*$W154,)</f>
        <v>0</v>
      </c>
      <c r="AM154" s="1">
        <f>IFERROR(Table2[[#This Row],[CCCM_PIN]]*$W154,)</f>
        <v>0</v>
      </c>
      <c r="AN154" s="1">
        <f>IFERROR(Table2[[#This Row],[ERL_PIN]]*$W154,)</f>
        <v>0</v>
      </c>
      <c r="AO154" s="1">
        <f>IFERROR(Table2[[#This Row],[NFI_PIN]]*$W154,)</f>
        <v>0</v>
      </c>
      <c r="AP154" s="1">
        <f>IFERROR(Table2[[#This Row],[Nutrition_PIN]]*$W154,)</f>
        <v>0</v>
      </c>
      <c r="AQ154" s="1">
        <f>IFERROR(Table2[[#This Row],[Education_PIN]]*$W154,)</f>
        <v>0</v>
      </c>
      <c r="AR154" s="1">
        <f>IFERROR(Table2[[#This Row],[Shelter_PIN]]*$W154,)</f>
        <v>0</v>
      </c>
      <c r="AS154" s="1">
        <f>IFERROR(Table2[[#This Row],[WASH_PIN]]*$W154,)</f>
        <v>0</v>
      </c>
      <c r="AT154" s="1">
        <f>IFERROR(Table2[[#This Row],[WASH_acute_PIN]]*$W154,)</f>
        <v>0</v>
      </c>
      <c r="AU154" s="1">
        <f>IFERROR(Table2[[#This Row],[Protection_PIN]]*$W154,)</f>
        <v>0</v>
      </c>
      <c r="AV154" s="1">
        <f>IFERROR(Table2[[#This Row],[Food_PIN]]*$W154,)</f>
        <v>0</v>
      </c>
      <c r="AW154" s="1">
        <f>IFERROR(Table2[[#This Row],[Protection_CP_PIN]]*$W154,)</f>
        <v>0</v>
      </c>
      <c r="AX154" s="1">
        <f>IFERROR(Table2[[#This Row],[Protection_GBV_PIN]]*$W154,)</f>
        <v>0</v>
      </c>
      <c r="AY154" s="1">
        <f>IFERROR(Table2[[#This Row],[Protection_MA_PIN]]*$W154,)</f>
        <v>0</v>
      </c>
      <c r="AZ154" s="1">
        <v>3</v>
      </c>
      <c r="BA154" s="1">
        <v>4</v>
      </c>
      <c r="BB154" s="1">
        <v>4</v>
      </c>
      <c r="BC154" s="1">
        <v>2</v>
      </c>
      <c r="BD154" s="1">
        <v>3</v>
      </c>
      <c r="BE154" s="1">
        <v>4</v>
      </c>
      <c r="BF154" s="1">
        <v>4</v>
      </c>
      <c r="BG154" s="1">
        <v>3</v>
      </c>
      <c r="BH154" s="1">
        <v>4</v>
      </c>
      <c r="BI154" s="1">
        <v>4</v>
      </c>
      <c r="BJ154" s="1">
        <v>4</v>
      </c>
      <c r="BK154" s="1" t="s">
        <v>665</v>
      </c>
      <c r="BL154" s="1">
        <v>4</v>
      </c>
    </row>
    <row r="155" spans="1:64" x14ac:dyDescent="0.35">
      <c r="A155" t="s">
        <v>205</v>
      </c>
      <c r="B155" t="s">
        <v>723</v>
      </c>
      <c r="C155" t="s">
        <v>206</v>
      </c>
      <c r="D155" t="s">
        <v>454</v>
      </c>
      <c r="E155" t="s">
        <v>841</v>
      </c>
      <c r="F155" t="s">
        <v>455</v>
      </c>
      <c r="G155" t="s">
        <v>454</v>
      </c>
      <c r="H155" s="1">
        <v>0</v>
      </c>
      <c r="I155" s="1" t="s">
        <v>665</v>
      </c>
      <c r="J155" s="1">
        <v>12085</v>
      </c>
      <c r="K155" s="1">
        <v>2569</v>
      </c>
      <c r="L155" s="1">
        <v>2666.2543418838764</v>
      </c>
      <c r="M155" s="1">
        <v>729.83707262018754</v>
      </c>
      <c r="N155" s="1">
        <v>1098</v>
      </c>
      <c r="O155" s="1">
        <v>12038.580555555553</v>
      </c>
      <c r="P155" s="1">
        <v>7252</v>
      </c>
      <c r="Q155" s="1">
        <v>10274</v>
      </c>
      <c r="R155" s="1">
        <v>8240.9249999999993</v>
      </c>
      <c r="S155" s="1">
        <v>3596.7</v>
      </c>
      <c r="T155" s="1">
        <v>6002</v>
      </c>
      <c r="U155" s="1">
        <v>12843</v>
      </c>
      <c r="V155" s="3">
        <f>_xlfn.XLOOKUP(Table2[[#This Row],[admin3Pcode]],'Inter-sector dataset'!F:F,'Inter-sector dataset'!Q:Q)</f>
        <v>0</v>
      </c>
      <c r="W155" s="3">
        <f>_xlfn.XLOOKUP(Table2[[#This Row],[admin3Pcode]],'Inter-sector dataset'!F:F,'Inter-sector dataset'!R:R)</f>
        <v>0</v>
      </c>
      <c r="X155" s="1">
        <f>IFERROR(Table2[[#This Row],[Health_PIN]]*$V155,)</f>
        <v>0</v>
      </c>
      <c r="Y155" s="1">
        <f>IFERROR(Table2[[#This Row],[CCCM_PIN]]*$V155,)</f>
        <v>0</v>
      </c>
      <c r="Z155" s="1">
        <f>IFERROR(Table2[[#This Row],[ERL_PIN]]*$V155,)</f>
        <v>0</v>
      </c>
      <c r="AA155" s="1">
        <f>IFERROR(Table2[[#This Row],[NFI_PIN]]*$V155,)</f>
        <v>0</v>
      </c>
      <c r="AB155" s="1">
        <f>IFERROR(Table2[[#This Row],[Nutrition_PIN]]*$V155,)</f>
        <v>0</v>
      </c>
      <c r="AC155" s="1">
        <f>IFERROR(Table2[[#This Row],[Education_PIN]]*$V155,)</f>
        <v>0</v>
      </c>
      <c r="AD155" s="1">
        <f>IFERROR(Table2[[#This Row],[Shelter_PIN]]*$V155,)</f>
        <v>0</v>
      </c>
      <c r="AE155" s="1">
        <f>IFERROR(Table2[[#This Row],[WASH_PIN]]*$V155,)</f>
        <v>0</v>
      </c>
      <c r="AF155" s="1">
        <f>IFERROR(Table2[[#This Row],[WASH_acute_PIN]]*$V155,)</f>
        <v>0</v>
      </c>
      <c r="AG155" s="1">
        <f>IFERROR(Table2[[#This Row],[Protection_PIN]]*$V155,)</f>
        <v>0</v>
      </c>
      <c r="AH155" s="1">
        <f>IFERROR(Table2[[#This Row],[Food_PIN]]*$V155,)</f>
        <v>0</v>
      </c>
      <c r="AI155" s="1">
        <f>IFERROR(Table2[[#This Row],[Protection_CP_PIN]]*$V155,)</f>
        <v>0</v>
      </c>
      <c r="AJ155" s="1">
        <f>IFERROR(Table2[[#This Row],[Protection_GBV_PIN]]*$V155,)</f>
        <v>0</v>
      </c>
      <c r="AK155" s="1">
        <f>IFERROR(Table2[[#This Row],[Protection_MA_PIN]]*$V155,)</f>
        <v>0</v>
      </c>
      <c r="AL155" s="1">
        <f>IFERROR(Table2[[#This Row],[Health_PIN]]*$W155,)</f>
        <v>0</v>
      </c>
      <c r="AM155" s="1">
        <f>IFERROR(Table2[[#This Row],[CCCM_PIN]]*$W155,)</f>
        <v>0</v>
      </c>
      <c r="AN155" s="1">
        <f>IFERROR(Table2[[#This Row],[ERL_PIN]]*$W155,)</f>
        <v>0</v>
      </c>
      <c r="AO155" s="1">
        <f>IFERROR(Table2[[#This Row],[NFI_PIN]]*$W155,)</f>
        <v>0</v>
      </c>
      <c r="AP155" s="1">
        <f>IFERROR(Table2[[#This Row],[Nutrition_PIN]]*$W155,)</f>
        <v>0</v>
      </c>
      <c r="AQ155" s="1">
        <f>IFERROR(Table2[[#This Row],[Education_PIN]]*$W155,)</f>
        <v>0</v>
      </c>
      <c r="AR155" s="1">
        <f>IFERROR(Table2[[#This Row],[Shelter_PIN]]*$W155,)</f>
        <v>0</v>
      </c>
      <c r="AS155" s="1">
        <f>IFERROR(Table2[[#This Row],[WASH_PIN]]*$W155,)</f>
        <v>0</v>
      </c>
      <c r="AT155" s="1">
        <f>IFERROR(Table2[[#This Row],[WASH_acute_PIN]]*$W155,)</f>
        <v>0</v>
      </c>
      <c r="AU155" s="1">
        <f>IFERROR(Table2[[#This Row],[Protection_PIN]]*$W155,)</f>
        <v>0</v>
      </c>
      <c r="AV155" s="1">
        <f>IFERROR(Table2[[#This Row],[Food_PIN]]*$W155,)</f>
        <v>0</v>
      </c>
      <c r="AW155" s="1">
        <f>IFERROR(Table2[[#This Row],[Protection_CP_PIN]]*$W155,)</f>
        <v>0</v>
      </c>
      <c r="AX155" s="1">
        <f>IFERROR(Table2[[#This Row],[Protection_GBV_PIN]]*$W155,)</f>
        <v>0</v>
      </c>
      <c r="AY155" s="1">
        <f>IFERROR(Table2[[#This Row],[Protection_MA_PIN]]*$W155,)</f>
        <v>0</v>
      </c>
      <c r="AZ155" s="1">
        <v>2</v>
      </c>
      <c r="BA155" s="1">
        <v>2</v>
      </c>
      <c r="BB155" s="1">
        <v>3</v>
      </c>
      <c r="BC155" s="1">
        <v>2</v>
      </c>
      <c r="BD155" s="1">
        <v>3</v>
      </c>
      <c r="BE155" s="1">
        <v>2</v>
      </c>
      <c r="BF155" s="1">
        <v>4</v>
      </c>
      <c r="BG155" s="1">
        <v>4</v>
      </c>
      <c r="BH155" s="1">
        <v>4</v>
      </c>
      <c r="BI155" s="1">
        <v>4</v>
      </c>
      <c r="BJ155" s="1">
        <v>4</v>
      </c>
      <c r="BK155" s="1" t="s">
        <v>665</v>
      </c>
      <c r="BL155" s="1">
        <v>4</v>
      </c>
    </row>
    <row r="156" spans="1:64" x14ac:dyDescent="0.35">
      <c r="A156" t="s">
        <v>168</v>
      </c>
      <c r="B156" t="s">
        <v>681</v>
      </c>
      <c r="C156" t="s">
        <v>169</v>
      </c>
      <c r="D156" t="s">
        <v>378</v>
      </c>
      <c r="E156" t="s">
        <v>842</v>
      </c>
      <c r="F156" t="s">
        <v>379</v>
      </c>
      <c r="G156" t="s">
        <v>378</v>
      </c>
      <c r="H156" s="1">
        <v>6816</v>
      </c>
      <c r="I156" s="1" t="s">
        <v>665</v>
      </c>
      <c r="J156" s="1">
        <v>12830</v>
      </c>
      <c r="K156" s="1">
        <v>2826</v>
      </c>
      <c r="L156" s="1">
        <v>4157.0997764379308</v>
      </c>
      <c r="M156" s="1">
        <v>4598.333333333333</v>
      </c>
      <c r="N156" s="1">
        <v>2834</v>
      </c>
      <c r="O156" s="1">
        <v>10155.892545810353</v>
      </c>
      <c r="P156" s="1">
        <v>6968</v>
      </c>
      <c r="Q156" s="1">
        <v>10906</v>
      </c>
      <c r="R156" s="1">
        <v>11233.777777777777</v>
      </c>
      <c r="S156" s="1">
        <v>3648.8999999999996</v>
      </c>
      <c r="T156" s="1">
        <v>5800</v>
      </c>
      <c r="U156" s="1">
        <v>12605</v>
      </c>
      <c r="V156" s="3">
        <f>_xlfn.XLOOKUP(Table2[[#This Row],[admin3Pcode]],'Inter-sector dataset'!F:F,'Inter-sector dataset'!Q:Q)</f>
        <v>0</v>
      </c>
      <c r="W156" s="3">
        <f>_xlfn.XLOOKUP(Table2[[#This Row],[admin3Pcode]],'Inter-sector dataset'!F:F,'Inter-sector dataset'!R:R)</f>
        <v>0</v>
      </c>
      <c r="X156" s="1">
        <f>IFERROR(Table2[[#This Row],[Health_PIN]]*$V156,)</f>
        <v>0</v>
      </c>
      <c r="Y156" s="1">
        <f>IFERROR(Table2[[#This Row],[CCCM_PIN]]*$V156,)</f>
        <v>0</v>
      </c>
      <c r="Z156" s="1">
        <f>IFERROR(Table2[[#This Row],[ERL_PIN]]*$V156,)</f>
        <v>0</v>
      </c>
      <c r="AA156" s="1">
        <f>IFERROR(Table2[[#This Row],[NFI_PIN]]*$V156,)</f>
        <v>0</v>
      </c>
      <c r="AB156" s="1">
        <f>IFERROR(Table2[[#This Row],[Nutrition_PIN]]*$V156,)</f>
        <v>0</v>
      </c>
      <c r="AC156" s="1">
        <f>IFERROR(Table2[[#This Row],[Education_PIN]]*$V156,)</f>
        <v>0</v>
      </c>
      <c r="AD156" s="1">
        <f>IFERROR(Table2[[#This Row],[Shelter_PIN]]*$V156,)</f>
        <v>0</v>
      </c>
      <c r="AE156" s="1">
        <f>IFERROR(Table2[[#This Row],[WASH_PIN]]*$V156,)</f>
        <v>0</v>
      </c>
      <c r="AF156" s="1">
        <f>IFERROR(Table2[[#This Row],[WASH_acute_PIN]]*$V156,)</f>
        <v>0</v>
      </c>
      <c r="AG156" s="1">
        <f>IFERROR(Table2[[#This Row],[Protection_PIN]]*$V156,)</f>
        <v>0</v>
      </c>
      <c r="AH156" s="1">
        <f>IFERROR(Table2[[#This Row],[Food_PIN]]*$V156,)</f>
        <v>0</v>
      </c>
      <c r="AI156" s="1">
        <f>IFERROR(Table2[[#This Row],[Protection_CP_PIN]]*$V156,)</f>
        <v>0</v>
      </c>
      <c r="AJ156" s="1">
        <f>IFERROR(Table2[[#This Row],[Protection_GBV_PIN]]*$V156,)</f>
        <v>0</v>
      </c>
      <c r="AK156" s="1">
        <f>IFERROR(Table2[[#This Row],[Protection_MA_PIN]]*$V156,)</f>
        <v>0</v>
      </c>
      <c r="AL156" s="1">
        <f>IFERROR(Table2[[#This Row],[Health_PIN]]*$W156,)</f>
        <v>0</v>
      </c>
      <c r="AM156" s="1">
        <f>IFERROR(Table2[[#This Row],[CCCM_PIN]]*$W156,)</f>
        <v>0</v>
      </c>
      <c r="AN156" s="1">
        <f>IFERROR(Table2[[#This Row],[ERL_PIN]]*$W156,)</f>
        <v>0</v>
      </c>
      <c r="AO156" s="1">
        <f>IFERROR(Table2[[#This Row],[NFI_PIN]]*$W156,)</f>
        <v>0</v>
      </c>
      <c r="AP156" s="1">
        <f>IFERROR(Table2[[#This Row],[Nutrition_PIN]]*$W156,)</f>
        <v>0</v>
      </c>
      <c r="AQ156" s="1">
        <f>IFERROR(Table2[[#This Row],[Education_PIN]]*$W156,)</f>
        <v>0</v>
      </c>
      <c r="AR156" s="1">
        <f>IFERROR(Table2[[#This Row],[Shelter_PIN]]*$W156,)</f>
        <v>0</v>
      </c>
      <c r="AS156" s="1">
        <f>IFERROR(Table2[[#This Row],[WASH_PIN]]*$W156,)</f>
        <v>0</v>
      </c>
      <c r="AT156" s="1">
        <f>IFERROR(Table2[[#This Row],[WASH_acute_PIN]]*$W156,)</f>
        <v>0</v>
      </c>
      <c r="AU156" s="1">
        <f>IFERROR(Table2[[#This Row],[Protection_PIN]]*$W156,)</f>
        <v>0</v>
      </c>
      <c r="AV156" s="1">
        <f>IFERROR(Table2[[#This Row],[Food_PIN]]*$W156,)</f>
        <v>0</v>
      </c>
      <c r="AW156" s="1">
        <f>IFERROR(Table2[[#This Row],[Protection_CP_PIN]]*$W156,)</f>
        <v>0</v>
      </c>
      <c r="AX156" s="1">
        <f>IFERROR(Table2[[#This Row],[Protection_GBV_PIN]]*$W156,)</f>
        <v>0</v>
      </c>
      <c r="AY156" s="1">
        <f>IFERROR(Table2[[#This Row],[Protection_MA_PIN]]*$W156,)</f>
        <v>0</v>
      </c>
      <c r="AZ156" s="1">
        <v>3</v>
      </c>
      <c r="BA156" s="1">
        <v>3</v>
      </c>
      <c r="BB156" s="1">
        <v>5</v>
      </c>
      <c r="BC156" s="1">
        <v>3</v>
      </c>
      <c r="BD156" s="1">
        <v>4</v>
      </c>
      <c r="BE156" s="1">
        <v>3</v>
      </c>
      <c r="BF156" s="1">
        <v>4</v>
      </c>
      <c r="BG156" s="1">
        <v>4</v>
      </c>
      <c r="BH156" s="1">
        <v>4</v>
      </c>
      <c r="BI156" s="1">
        <v>4</v>
      </c>
      <c r="BJ156" s="1">
        <v>4</v>
      </c>
      <c r="BK156" s="1" t="s">
        <v>665</v>
      </c>
      <c r="BL156" s="1">
        <v>4</v>
      </c>
    </row>
    <row r="157" spans="1:64" x14ac:dyDescent="0.35">
      <c r="A157" t="s">
        <v>168</v>
      </c>
      <c r="B157" t="s">
        <v>681</v>
      </c>
      <c r="C157" t="s">
        <v>169</v>
      </c>
      <c r="D157" t="s">
        <v>239</v>
      </c>
      <c r="E157" t="s">
        <v>843</v>
      </c>
      <c r="F157" t="s">
        <v>240</v>
      </c>
      <c r="G157" t="s">
        <v>239</v>
      </c>
      <c r="H157" s="1">
        <v>7041.5</v>
      </c>
      <c r="I157" s="1" t="s">
        <v>665</v>
      </c>
      <c r="J157" s="1">
        <v>6876</v>
      </c>
      <c r="K157" s="1">
        <v>0</v>
      </c>
      <c r="L157" s="1">
        <v>4056.2784537476559</v>
      </c>
      <c r="M157" s="1">
        <v>1882.5188270678104</v>
      </c>
      <c r="N157" s="1">
        <v>2593</v>
      </c>
      <c r="O157" s="1">
        <v>4886.4166000672731</v>
      </c>
      <c r="P157" s="1">
        <v>1535</v>
      </c>
      <c r="Q157" s="1">
        <v>11266</v>
      </c>
      <c r="R157" s="1">
        <v>11996.62962962963</v>
      </c>
      <c r="S157" s="1">
        <v>4159.8</v>
      </c>
      <c r="T157" s="1">
        <v>3999</v>
      </c>
      <c r="U157" s="1">
        <v>12173</v>
      </c>
      <c r="V157" s="3">
        <f>_xlfn.XLOOKUP(Table2[[#This Row],[admin3Pcode]],'Inter-sector dataset'!F:F,'Inter-sector dataset'!Q:Q)</f>
        <v>0</v>
      </c>
      <c r="W157" s="3">
        <f>_xlfn.XLOOKUP(Table2[[#This Row],[admin3Pcode]],'Inter-sector dataset'!F:F,'Inter-sector dataset'!R:R)</f>
        <v>0</v>
      </c>
      <c r="X157" s="1">
        <f>IFERROR(Table2[[#This Row],[Health_PIN]]*$V157,)</f>
        <v>0</v>
      </c>
      <c r="Y157" s="1">
        <f>IFERROR(Table2[[#This Row],[CCCM_PIN]]*$V157,)</f>
        <v>0</v>
      </c>
      <c r="Z157" s="1">
        <f>IFERROR(Table2[[#This Row],[ERL_PIN]]*$V157,)</f>
        <v>0</v>
      </c>
      <c r="AA157" s="1">
        <f>IFERROR(Table2[[#This Row],[NFI_PIN]]*$V157,)</f>
        <v>0</v>
      </c>
      <c r="AB157" s="1">
        <f>IFERROR(Table2[[#This Row],[Nutrition_PIN]]*$V157,)</f>
        <v>0</v>
      </c>
      <c r="AC157" s="1">
        <f>IFERROR(Table2[[#This Row],[Education_PIN]]*$V157,)</f>
        <v>0</v>
      </c>
      <c r="AD157" s="1">
        <f>IFERROR(Table2[[#This Row],[Shelter_PIN]]*$V157,)</f>
        <v>0</v>
      </c>
      <c r="AE157" s="1">
        <f>IFERROR(Table2[[#This Row],[WASH_PIN]]*$V157,)</f>
        <v>0</v>
      </c>
      <c r="AF157" s="1">
        <f>IFERROR(Table2[[#This Row],[WASH_acute_PIN]]*$V157,)</f>
        <v>0</v>
      </c>
      <c r="AG157" s="1">
        <f>IFERROR(Table2[[#This Row],[Protection_PIN]]*$V157,)</f>
        <v>0</v>
      </c>
      <c r="AH157" s="1">
        <f>IFERROR(Table2[[#This Row],[Food_PIN]]*$V157,)</f>
        <v>0</v>
      </c>
      <c r="AI157" s="1">
        <f>IFERROR(Table2[[#This Row],[Protection_CP_PIN]]*$V157,)</f>
        <v>0</v>
      </c>
      <c r="AJ157" s="1">
        <f>IFERROR(Table2[[#This Row],[Protection_GBV_PIN]]*$V157,)</f>
        <v>0</v>
      </c>
      <c r="AK157" s="1">
        <f>IFERROR(Table2[[#This Row],[Protection_MA_PIN]]*$V157,)</f>
        <v>0</v>
      </c>
      <c r="AL157" s="1">
        <f>IFERROR(Table2[[#This Row],[Health_PIN]]*$W157,)</f>
        <v>0</v>
      </c>
      <c r="AM157" s="1">
        <f>IFERROR(Table2[[#This Row],[CCCM_PIN]]*$W157,)</f>
        <v>0</v>
      </c>
      <c r="AN157" s="1">
        <f>IFERROR(Table2[[#This Row],[ERL_PIN]]*$W157,)</f>
        <v>0</v>
      </c>
      <c r="AO157" s="1">
        <f>IFERROR(Table2[[#This Row],[NFI_PIN]]*$W157,)</f>
        <v>0</v>
      </c>
      <c r="AP157" s="1">
        <f>IFERROR(Table2[[#This Row],[Nutrition_PIN]]*$W157,)</f>
        <v>0</v>
      </c>
      <c r="AQ157" s="1">
        <f>IFERROR(Table2[[#This Row],[Education_PIN]]*$W157,)</f>
        <v>0</v>
      </c>
      <c r="AR157" s="1">
        <f>IFERROR(Table2[[#This Row],[Shelter_PIN]]*$W157,)</f>
        <v>0</v>
      </c>
      <c r="AS157" s="1">
        <f>IFERROR(Table2[[#This Row],[WASH_PIN]]*$W157,)</f>
        <v>0</v>
      </c>
      <c r="AT157" s="1">
        <f>IFERROR(Table2[[#This Row],[WASH_acute_PIN]]*$W157,)</f>
        <v>0</v>
      </c>
      <c r="AU157" s="1">
        <f>IFERROR(Table2[[#This Row],[Protection_PIN]]*$W157,)</f>
        <v>0</v>
      </c>
      <c r="AV157" s="1">
        <f>IFERROR(Table2[[#This Row],[Food_PIN]]*$W157,)</f>
        <v>0</v>
      </c>
      <c r="AW157" s="1">
        <f>IFERROR(Table2[[#This Row],[Protection_CP_PIN]]*$W157,)</f>
        <v>0</v>
      </c>
      <c r="AX157" s="1">
        <f>IFERROR(Table2[[#This Row],[Protection_GBV_PIN]]*$W157,)</f>
        <v>0</v>
      </c>
      <c r="AY157" s="1">
        <f>IFERROR(Table2[[#This Row],[Protection_MA_PIN]]*$W157,)</f>
        <v>0</v>
      </c>
      <c r="AZ157" s="1">
        <v>2</v>
      </c>
      <c r="BA157" s="1">
        <v>4</v>
      </c>
      <c r="BB157" s="1">
        <v>4</v>
      </c>
      <c r="BC157" s="1">
        <v>1</v>
      </c>
      <c r="BD157" s="1">
        <v>3</v>
      </c>
      <c r="BE157" s="1">
        <v>3</v>
      </c>
      <c r="BF157" s="1">
        <v>4</v>
      </c>
      <c r="BG157" s="1">
        <v>4</v>
      </c>
      <c r="BH157" s="1">
        <v>3</v>
      </c>
      <c r="BI157" s="1">
        <v>4</v>
      </c>
      <c r="BJ157" s="1">
        <v>4</v>
      </c>
      <c r="BK157" s="1" t="s">
        <v>665</v>
      </c>
      <c r="BL157" s="1">
        <v>3</v>
      </c>
    </row>
    <row r="158" spans="1:64" x14ac:dyDescent="0.35">
      <c r="A158" t="s">
        <v>205</v>
      </c>
      <c r="B158" t="s">
        <v>723</v>
      </c>
      <c r="C158" t="s">
        <v>206</v>
      </c>
      <c r="D158" t="s">
        <v>482</v>
      </c>
      <c r="E158" t="s">
        <v>844</v>
      </c>
      <c r="F158" t="s">
        <v>483</v>
      </c>
      <c r="G158" t="s">
        <v>482</v>
      </c>
      <c r="H158" s="1">
        <v>0</v>
      </c>
      <c r="I158" s="1" t="s">
        <v>665</v>
      </c>
      <c r="J158" s="1">
        <v>13858</v>
      </c>
      <c r="K158" s="1">
        <v>2885</v>
      </c>
      <c r="L158" s="1">
        <v>3063.2404871639296</v>
      </c>
      <c r="M158" s="1">
        <v>1189.1590072057652</v>
      </c>
      <c r="N158" s="1">
        <v>2885</v>
      </c>
      <c r="O158" s="1">
        <v>11101.104458655018</v>
      </c>
      <c r="P158" s="1">
        <v>6899</v>
      </c>
      <c r="Q158" s="1">
        <v>11539</v>
      </c>
      <c r="R158" s="1">
        <v>8774.6</v>
      </c>
      <c r="S158" s="1">
        <v>4002.8999999999996</v>
      </c>
      <c r="T158" s="1">
        <v>6235</v>
      </c>
      <c r="U158" s="1">
        <v>10235</v>
      </c>
      <c r="V158" s="3">
        <f>_xlfn.XLOOKUP(Table2[[#This Row],[admin3Pcode]],'Inter-sector dataset'!F:F,'Inter-sector dataset'!Q:Q)</f>
        <v>0</v>
      </c>
      <c r="W158" s="3">
        <f>_xlfn.XLOOKUP(Table2[[#This Row],[admin3Pcode]],'Inter-sector dataset'!F:F,'Inter-sector dataset'!R:R)</f>
        <v>0</v>
      </c>
      <c r="X158" s="1">
        <f>IFERROR(Table2[[#This Row],[Health_PIN]]*$V158,)</f>
        <v>0</v>
      </c>
      <c r="Y158" s="1">
        <f>IFERROR(Table2[[#This Row],[CCCM_PIN]]*$V158,)</f>
        <v>0</v>
      </c>
      <c r="Z158" s="1">
        <f>IFERROR(Table2[[#This Row],[ERL_PIN]]*$V158,)</f>
        <v>0</v>
      </c>
      <c r="AA158" s="1">
        <f>IFERROR(Table2[[#This Row],[NFI_PIN]]*$V158,)</f>
        <v>0</v>
      </c>
      <c r="AB158" s="1">
        <f>IFERROR(Table2[[#This Row],[Nutrition_PIN]]*$V158,)</f>
        <v>0</v>
      </c>
      <c r="AC158" s="1">
        <f>IFERROR(Table2[[#This Row],[Education_PIN]]*$V158,)</f>
        <v>0</v>
      </c>
      <c r="AD158" s="1">
        <f>IFERROR(Table2[[#This Row],[Shelter_PIN]]*$V158,)</f>
        <v>0</v>
      </c>
      <c r="AE158" s="1">
        <f>IFERROR(Table2[[#This Row],[WASH_PIN]]*$V158,)</f>
        <v>0</v>
      </c>
      <c r="AF158" s="1">
        <f>IFERROR(Table2[[#This Row],[WASH_acute_PIN]]*$V158,)</f>
        <v>0</v>
      </c>
      <c r="AG158" s="1">
        <f>IFERROR(Table2[[#This Row],[Protection_PIN]]*$V158,)</f>
        <v>0</v>
      </c>
      <c r="AH158" s="1">
        <f>IFERROR(Table2[[#This Row],[Food_PIN]]*$V158,)</f>
        <v>0</v>
      </c>
      <c r="AI158" s="1">
        <f>IFERROR(Table2[[#This Row],[Protection_CP_PIN]]*$V158,)</f>
        <v>0</v>
      </c>
      <c r="AJ158" s="1">
        <f>IFERROR(Table2[[#This Row],[Protection_GBV_PIN]]*$V158,)</f>
        <v>0</v>
      </c>
      <c r="AK158" s="1">
        <f>IFERROR(Table2[[#This Row],[Protection_MA_PIN]]*$V158,)</f>
        <v>0</v>
      </c>
      <c r="AL158" s="1">
        <f>IFERROR(Table2[[#This Row],[Health_PIN]]*$W158,)</f>
        <v>0</v>
      </c>
      <c r="AM158" s="1">
        <f>IFERROR(Table2[[#This Row],[CCCM_PIN]]*$W158,)</f>
        <v>0</v>
      </c>
      <c r="AN158" s="1">
        <f>IFERROR(Table2[[#This Row],[ERL_PIN]]*$W158,)</f>
        <v>0</v>
      </c>
      <c r="AO158" s="1">
        <f>IFERROR(Table2[[#This Row],[NFI_PIN]]*$W158,)</f>
        <v>0</v>
      </c>
      <c r="AP158" s="1">
        <f>IFERROR(Table2[[#This Row],[Nutrition_PIN]]*$W158,)</f>
        <v>0</v>
      </c>
      <c r="AQ158" s="1">
        <f>IFERROR(Table2[[#This Row],[Education_PIN]]*$W158,)</f>
        <v>0</v>
      </c>
      <c r="AR158" s="1">
        <f>IFERROR(Table2[[#This Row],[Shelter_PIN]]*$W158,)</f>
        <v>0</v>
      </c>
      <c r="AS158" s="1">
        <f>IFERROR(Table2[[#This Row],[WASH_PIN]]*$W158,)</f>
        <v>0</v>
      </c>
      <c r="AT158" s="1">
        <f>IFERROR(Table2[[#This Row],[WASH_acute_PIN]]*$W158,)</f>
        <v>0</v>
      </c>
      <c r="AU158" s="1">
        <f>IFERROR(Table2[[#This Row],[Protection_PIN]]*$W158,)</f>
        <v>0</v>
      </c>
      <c r="AV158" s="1">
        <f>IFERROR(Table2[[#This Row],[Food_PIN]]*$W158,)</f>
        <v>0</v>
      </c>
      <c r="AW158" s="1">
        <f>IFERROR(Table2[[#This Row],[Protection_CP_PIN]]*$W158,)</f>
        <v>0</v>
      </c>
      <c r="AX158" s="1">
        <f>IFERROR(Table2[[#This Row],[Protection_GBV_PIN]]*$W158,)</f>
        <v>0</v>
      </c>
      <c r="AY158" s="1">
        <f>IFERROR(Table2[[#This Row],[Protection_MA_PIN]]*$W158,)</f>
        <v>0</v>
      </c>
      <c r="AZ158" s="1">
        <v>2</v>
      </c>
      <c r="BA158" s="1">
        <v>3</v>
      </c>
      <c r="BB158" s="1">
        <v>4</v>
      </c>
      <c r="BC158" s="1">
        <v>2</v>
      </c>
      <c r="BD158" s="1">
        <v>3</v>
      </c>
      <c r="BE158" s="1">
        <v>2</v>
      </c>
      <c r="BF158" s="1">
        <v>4</v>
      </c>
      <c r="BG158" s="1">
        <v>4</v>
      </c>
      <c r="BH158" s="1">
        <v>4</v>
      </c>
      <c r="BI158" s="1">
        <v>4</v>
      </c>
      <c r="BJ158" s="1">
        <v>4</v>
      </c>
      <c r="BK158" s="1" t="s">
        <v>665</v>
      </c>
      <c r="BL158" s="1">
        <v>4</v>
      </c>
    </row>
    <row r="159" spans="1:64" x14ac:dyDescent="0.35">
      <c r="A159" t="s">
        <v>104</v>
      </c>
      <c r="B159" t="s">
        <v>677</v>
      </c>
      <c r="C159" t="s">
        <v>105</v>
      </c>
      <c r="D159" t="s">
        <v>427</v>
      </c>
      <c r="E159" t="s">
        <v>845</v>
      </c>
      <c r="F159" t="s">
        <v>428</v>
      </c>
      <c r="G159" t="s">
        <v>427</v>
      </c>
      <c r="H159" s="1">
        <v>11154.75</v>
      </c>
      <c r="I159" s="1" t="s">
        <v>665</v>
      </c>
      <c r="J159" s="1">
        <v>12954</v>
      </c>
      <c r="K159" s="1">
        <v>2975</v>
      </c>
      <c r="L159" s="1">
        <v>2232.0798943313121</v>
      </c>
      <c r="M159" s="1">
        <v>1346.1665005827369</v>
      </c>
      <c r="N159" s="1">
        <v>2975</v>
      </c>
      <c r="O159" s="1">
        <v>13557.486568770035</v>
      </c>
      <c r="P159" s="1">
        <v>9497</v>
      </c>
      <c r="Q159" s="1">
        <v>11898</v>
      </c>
      <c r="R159" s="1">
        <v>2341.1203703703704</v>
      </c>
      <c r="S159" s="1">
        <v>2350.4</v>
      </c>
      <c r="T159" s="1">
        <v>6750</v>
      </c>
      <c r="U159" s="1">
        <v>14718</v>
      </c>
      <c r="V159" s="3">
        <f>_xlfn.XLOOKUP(Table2[[#This Row],[admin3Pcode]],'Inter-sector dataset'!F:F,'Inter-sector dataset'!Q:Q)</f>
        <v>0</v>
      </c>
      <c r="W159" s="3">
        <f>_xlfn.XLOOKUP(Table2[[#This Row],[admin3Pcode]],'Inter-sector dataset'!F:F,'Inter-sector dataset'!R:R)</f>
        <v>0</v>
      </c>
      <c r="X159" s="1">
        <f>IFERROR(Table2[[#This Row],[Health_PIN]]*$V159,)</f>
        <v>0</v>
      </c>
      <c r="Y159" s="1">
        <f>IFERROR(Table2[[#This Row],[CCCM_PIN]]*$V159,)</f>
        <v>0</v>
      </c>
      <c r="Z159" s="1">
        <f>IFERROR(Table2[[#This Row],[ERL_PIN]]*$V159,)</f>
        <v>0</v>
      </c>
      <c r="AA159" s="1">
        <f>IFERROR(Table2[[#This Row],[NFI_PIN]]*$V159,)</f>
        <v>0</v>
      </c>
      <c r="AB159" s="1">
        <f>IFERROR(Table2[[#This Row],[Nutrition_PIN]]*$V159,)</f>
        <v>0</v>
      </c>
      <c r="AC159" s="1">
        <f>IFERROR(Table2[[#This Row],[Education_PIN]]*$V159,)</f>
        <v>0</v>
      </c>
      <c r="AD159" s="1">
        <f>IFERROR(Table2[[#This Row],[Shelter_PIN]]*$V159,)</f>
        <v>0</v>
      </c>
      <c r="AE159" s="1">
        <f>IFERROR(Table2[[#This Row],[WASH_PIN]]*$V159,)</f>
        <v>0</v>
      </c>
      <c r="AF159" s="1">
        <f>IFERROR(Table2[[#This Row],[WASH_acute_PIN]]*$V159,)</f>
        <v>0</v>
      </c>
      <c r="AG159" s="1">
        <f>IFERROR(Table2[[#This Row],[Protection_PIN]]*$V159,)</f>
        <v>0</v>
      </c>
      <c r="AH159" s="1">
        <f>IFERROR(Table2[[#This Row],[Food_PIN]]*$V159,)</f>
        <v>0</v>
      </c>
      <c r="AI159" s="1">
        <f>IFERROR(Table2[[#This Row],[Protection_CP_PIN]]*$V159,)</f>
        <v>0</v>
      </c>
      <c r="AJ159" s="1">
        <f>IFERROR(Table2[[#This Row],[Protection_GBV_PIN]]*$V159,)</f>
        <v>0</v>
      </c>
      <c r="AK159" s="1">
        <f>IFERROR(Table2[[#This Row],[Protection_MA_PIN]]*$V159,)</f>
        <v>0</v>
      </c>
      <c r="AL159" s="1">
        <f>IFERROR(Table2[[#This Row],[Health_PIN]]*$W159,)</f>
        <v>0</v>
      </c>
      <c r="AM159" s="1">
        <f>IFERROR(Table2[[#This Row],[CCCM_PIN]]*$W159,)</f>
        <v>0</v>
      </c>
      <c r="AN159" s="1">
        <f>IFERROR(Table2[[#This Row],[ERL_PIN]]*$W159,)</f>
        <v>0</v>
      </c>
      <c r="AO159" s="1">
        <f>IFERROR(Table2[[#This Row],[NFI_PIN]]*$W159,)</f>
        <v>0</v>
      </c>
      <c r="AP159" s="1">
        <f>IFERROR(Table2[[#This Row],[Nutrition_PIN]]*$W159,)</f>
        <v>0</v>
      </c>
      <c r="AQ159" s="1">
        <f>IFERROR(Table2[[#This Row],[Education_PIN]]*$W159,)</f>
        <v>0</v>
      </c>
      <c r="AR159" s="1">
        <f>IFERROR(Table2[[#This Row],[Shelter_PIN]]*$W159,)</f>
        <v>0</v>
      </c>
      <c r="AS159" s="1">
        <f>IFERROR(Table2[[#This Row],[WASH_PIN]]*$W159,)</f>
        <v>0</v>
      </c>
      <c r="AT159" s="1">
        <f>IFERROR(Table2[[#This Row],[WASH_acute_PIN]]*$W159,)</f>
        <v>0</v>
      </c>
      <c r="AU159" s="1">
        <f>IFERROR(Table2[[#This Row],[Protection_PIN]]*$W159,)</f>
        <v>0</v>
      </c>
      <c r="AV159" s="1">
        <f>IFERROR(Table2[[#This Row],[Food_PIN]]*$W159,)</f>
        <v>0</v>
      </c>
      <c r="AW159" s="1">
        <f>IFERROR(Table2[[#This Row],[Protection_CP_PIN]]*$W159,)</f>
        <v>0</v>
      </c>
      <c r="AX159" s="1">
        <f>IFERROR(Table2[[#This Row],[Protection_GBV_PIN]]*$W159,)</f>
        <v>0</v>
      </c>
      <c r="AY159" s="1">
        <f>IFERROR(Table2[[#This Row],[Protection_MA_PIN]]*$W159,)</f>
        <v>0</v>
      </c>
      <c r="AZ159" s="1">
        <v>2</v>
      </c>
      <c r="BA159" s="1">
        <v>4</v>
      </c>
      <c r="BB159" s="1">
        <v>4</v>
      </c>
      <c r="BC159" s="1">
        <v>2</v>
      </c>
      <c r="BD159" s="1">
        <v>3</v>
      </c>
      <c r="BE159" s="1">
        <v>4</v>
      </c>
      <c r="BF159" s="1">
        <v>4</v>
      </c>
      <c r="BG159" s="1">
        <v>3</v>
      </c>
      <c r="BH159" s="1">
        <v>5</v>
      </c>
      <c r="BI159" s="1">
        <v>4</v>
      </c>
      <c r="BJ159" s="1">
        <v>2</v>
      </c>
      <c r="BK159" s="1" t="s">
        <v>665</v>
      </c>
      <c r="BL159" s="1">
        <v>4</v>
      </c>
    </row>
    <row r="160" spans="1:64" x14ac:dyDescent="0.35">
      <c r="A160" t="s">
        <v>54</v>
      </c>
      <c r="B160" t="s">
        <v>709</v>
      </c>
      <c r="C160" t="s">
        <v>55</v>
      </c>
      <c r="D160" t="s">
        <v>261</v>
      </c>
      <c r="E160" t="s">
        <v>846</v>
      </c>
      <c r="F160" t="s">
        <v>262</v>
      </c>
      <c r="G160" t="s">
        <v>261</v>
      </c>
      <c r="H160" s="1">
        <v>11415.75</v>
      </c>
      <c r="I160" s="1" t="s">
        <v>665</v>
      </c>
      <c r="J160" s="1">
        <v>13596</v>
      </c>
      <c r="K160" s="1">
        <v>6576</v>
      </c>
      <c r="L160" s="1">
        <v>4798.2292611830844</v>
      </c>
      <c r="M160" s="1">
        <v>7924.6333333333332</v>
      </c>
      <c r="N160" s="1">
        <v>3048</v>
      </c>
      <c r="O160" s="1">
        <v>14157.656686626748</v>
      </c>
      <c r="P160" s="1">
        <v>0</v>
      </c>
      <c r="Q160" s="1">
        <v>12177</v>
      </c>
      <c r="R160" s="1">
        <v>13670.712962962964</v>
      </c>
      <c r="S160" s="1">
        <v>5475</v>
      </c>
      <c r="T160" s="1">
        <v>3853</v>
      </c>
      <c r="U160" s="1">
        <v>14629</v>
      </c>
      <c r="V160" s="3">
        <f>_xlfn.XLOOKUP(Table2[[#This Row],[admin3Pcode]],'Inter-sector dataset'!F:F,'Inter-sector dataset'!Q:Q)</f>
        <v>0</v>
      </c>
      <c r="W160" s="3">
        <f>_xlfn.XLOOKUP(Table2[[#This Row],[admin3Pcode]],'Inter-sector dataset'!F:F,'Inter-sector dataset'!R:R)</f>
        <v>0</v>
      </c>
      <c r="X160" s="1">
        <f>IFERROR(Table2[[#This Row],[Health_PIN]]*$V160,)</f>
        <v>0</v>
      </c>
      <c r="Y160" s="1">
        <f>IFERROR(Table2[[#This Row],[CCCM_PIN]]*$V160,)</f>
        <v>0</v>
      </c>
      <c r="Z160" s="1">
        <f>IFERROR(Table2[[#This Row],[ERL_PIN]]*$V160,)</f>
        <v>0</v>
      </c>
      <c r="AA160" s="1">
        <f>IFERROR(Table2[[#This Row],[NFI_PIN]]*$V160,)</f>
        <v>0</v>
      </c>
      <c r="AB160" s="1">
        <f>IFERROR(Table2[[#This Row],[Nutrition_PIN]]*$V160,)</f>
        <v>0</v>
      </c>
      <c r="AC160" s="1">
        <f>IFERROR(Table2[[#This Row],[Education_PIN]]*$V160,)</f>
        <v>0</v>
      </c>
      <c r="AD160" s="1">
        <f>IFERROR(Table2[[#This Row],[Shelter_PIN]]*$V160,)</f>
        <v>0</v>
      </c>
      <c r="AE160" s="1">
        <f>IFERROR(Table2[[#This Row],[WASH_PIN]]*$V160,)</f>
        <v>0</v>
      </c>
      <c r="AF160" s="1">
        <f>IFERROR(Table2[[#This Row],[WASH_acute_PIN]]*$V160,)</f>
        <v>0</v>
      </c>
      <c r="AG160" s="1">
        <f>IFERROR(Table2[[#This Row],[Protection_PIN]]*$V160,)</f>
        <v>0</v>
      </c>
      <c r="AH160" s="1">
        <f>IFERROR(Table2[[#This Row],[Food_PIN]]*$V160,)</f>
        <v>0</v>
      </c>
      <c r="AI160" s="1">
        <f>IFERROR(Table2[[#This Row],[Protection_CP_PIN]]*$V160,)</f>
        <v>0</v>
      </c>
      <c r="AJ160" s="1">
        <f>IFERROR(Table2[[#This Row],[Protection_GBV_PIN]]*$V160,)</f>
        <v>0</v>
      </c>
      <c r="AK160" s="1">
        <f>IFERROR(Table2[[#This Row],[Protection_MA_PIN]]*$V160,)</f>
        <v>0</v>
      </c>
      <c r="AL160" s="1">
        <f>IFERROR(Table2[[#This Row],[Health_PIN]]*$W160,)</f>
        <v>0</v>
      </c>
      <c r="AM160" s="1">
        <f>IFERROR(Table2[[#This Row],[CCCM_PIN]]*$W160,)</f>
        <v>0</v>
      </c>
      <c r="AN160" s="1">
        <f>IFERROR(Table2[[#This Row],[ERL_PIN]]*$W160,)</f>
        <v>0</v>
      </c>
      <c r="AO160" s="1">
        <f>IFERROR(Table2[[#This Row],[NFI_PIN]]*$W160,)</f>
        <v>0</v>
      </c>
      <c r="AP160" s="1">
        <f>IFERROR(Table2[[#This Row],[Nutrition_PIN]]*$W160,)</f>
        <v>0</v>
      </c>
      <c r="AQ160" s="1">
        <f>IFERROR(Table2[[#This Row],[Education_PIN]]*$W160,)</f>
        <v>0</v>
      </c>
      <c r="AR160" s="1">
        <f>IFERROR(Table2[[#This Row],[Shelter_PIN]]*$W160,)</f>
        <v>0</v>
      </c>
      <c r="AS160" s="1">
        <f>IFERROR(Table2[[#This Row],[WASH_PIN]]*$W160,)</f>
        <v>0</v>
      </c>
      <c r="AT160" s="1">
        <f>IFERROR(Table2[[#This Row],[WASH_acute_PIN]]*$W160,)</f>
        <v>0</v>
      </c>
      <c r="AU160" s="1">
        <f>IFERROR(Table2[[#This Row],[Protection_PIN]]*$W160,)</f>
        <v>0</v>
      </c>
      <c r="AV160" s="1">
        <f>IFERROR(Table2[[#This Row],[Food_PIN]]*$W160,)</f>
        <v>0</v>
      </c>
      <c r="AW160" s="1">
        <f>IFERROR(Table2[[#This Row],[Protection_CP_PIN]]*$W160,)</f>
        <v>0</v>
      </c>
      <c r="AX160" s="1">
        <f>IFERROR(Table2[[#This Row],[Protection_GBV_PIN]]*$W160,)</f>
        <v>0</v>
      </c>
      <c r="AY160" s="1">
        <f>IFERROR(Table2[[#This Row],[Protection_MA_PIN]]*$W160,)</f>
        <v>0</v>
      </c>
      <c r="AZ160" s="1">
        <v>3</v>
      </c>
      <c r="BA160" s="1">
        <v>4</v>
      </c>
      <c r="BB160" s="1">
        <v>4</v>
      </c>
      <c r="BC160" s="1">
        <v>4</v>
      </c>
      <c r="BD160" s="1">
        <v>3</v>
      </c>
      <c r="BE160" s="1">
        <v>4</v>
      </c>
      <c r="BF160" s="1">
        <v>4</v>
      </c>
      <c r="BG160" s="1">
        <v>4</v>
      </c>
      <c r="BH160" s="1">
        <v>3</v>
      </c>
      <c r="BI160" s="1">
        <v>4</v>
      </c>
      <c r="BJ160" s="1">
        <v>4</v>
      </c>
      <c r="BK160" s="1" t="s">
        <v>665</v>
      </c>
      <c r="BL160" s="1">
        <v>3</v>
      </c>
    </row>
    <row r="161" spans="1:64" x14ac:dyDescent="0.35">
      <c r="A161" t="s">
        <v>205</v>
      </c>
      <c r="B161" t="s">
        <v>723</v>
      </c>
      <c r="C161" t="s">
        <v>206</v>
      </c>
      <c r="D161" t="s">
        <v>456</v>
      </c>
      <c r="E161" t="s">
        <v>847</v>
      </c>
      <c r="F161" t="s">
        <v>457</v>
      </c>
      <c r="G161" t="s">
        <v>456</v>
      </c>
      <c r="H161" s="1">
        <v>0</v>
      </c>
      <c r="I161" s="1" t="s">
        <v>665</v>
      </c>
      <c r="J161" s="1">
        <v>15557</v>
      </c>
      <c r="K161" s="1">
        <v>3161</v>
      </c>
      <c r="L161" s="1">
        <v>4558.6474994472046</v>
      </c>
      <c r="M161" s="1">
        <v>2504.4955602545865</v>
      </c>
      <c r="N161" s="1">
        <v>3161</v>
      </c>
      <c r="O161" s="1">
        <v>12942.807575757575</v>
      </c>
      <c r="P161" s="1">
        <v>6848</v>
      </c>
      <c r="Q161" s="1">
        <v>12642</v>
      </c>
      <c r="R161" s="1">
        <v>12115.633333333333</v>
      </c>
      <c r="S161" s="1">
        <v>4967.3999999999996</v>
      </c>
      <c r="T161" s="1">
        <v>6322</v>
      </c>
      <c r="U161" s="1">
        <v>13964</v>
      </c>
      <c r="V161" s="3">
        <f>_xlfn.XLOOKUP(Table2[[#This Row],[admin3Pcode]],'Inter-sector dataset'!F:F,'Inter-sector dataset'!Q:Q)</f>
        <v>0</v>
      </c>
      <c r="W161" s="3">
        <f>_xlfn.XLOOKUP(Table2[[#This Row],[admin3Pcode]],'Inter-sector dataset'!F:F,'Inter-sector dataset'!R:R)</f>
        <v>0</v>
      </c>
      <c r="X161" s="1">
        <f>IFERROR(Table2[[#This Row],[Health_PIN]]*$V161,)</f>
        <v>0</v>
      </c>
      <c r="Y161" s="1">
        <f>IFERROR(Table2[[#This Row],[CCCM_PIN]]*$V161,)</f>
        <v>0</v>
      </c>
      <c r="Z161" s="1">
        <f>IFERROR(Table2[[#This Row],[ERL_PIN]]*$V161,)</f>
        <v>0</v>
      </c>
      <c r="AA161" s="1">
        <f>IFERROR(Table2[[#This Row],[NFI_PIN]]*$V161,)</f>
        <v>0</v>
      </c>
      <c r="AB161" s="1">
        <f>IFERROR(Table2[[#This Row],[Nutrition_PIN]]*$V161,)</f>
        <v>0</v>
      </c>
      <c r="AC161" s="1">
        <f>IFERROR(Table2[[#This Row],[Education_PIN]]*$V161,)</f>
        <v>0</v>
      </c>
      <c r="AD161" s="1">
        <f>IFERROR(Table2[[#This Row],[Shelter_PIN]]*$V161,)</f>
        <v>0</v>
      </c>
      <c r="AE161" s="1">
        <f>IFERROR(Table2[[#This Row],[WASH_PIN]]*$V161,)</f>
        <v>0</v>
      </c>
      <c r="AF161" s="1">
        <f>IFERROR(Table2[[#This Row],[WASH_acute_PIN]]*$V161,)</f>
        <v>0</v>
      </c>
      <c r="AG161" s="1">
        <f>IFERROR(Table2[[#This Row],[Protection_PIN]]*$V161,)</f>
        <v>0</v>
      </c>
      <c r="AH161" s="1">
        <f>IFERROR(Table2[[#This Row],[Food_PIN]]*$V161,)</f>
        <v>0</v>
      </c>
      <c r="AI161" s="1">
        <f>IFERROR(Table2[[#This Row],[Protection_CP_PIN]]*$V161,)</f>
        <v>0</v>
      </c>
      <c r="AJ161" s="1">
        <f>IFERROR(Table2[[#This Row],[Protection_GBV_PIN]]*$V161,)</f>
        <v>0</v>
      </c>
      <c r="AK161" s="1">
        <f>IFERROR(Table2[[#This Row],[Protection_MA_PIN]]*$V161,)</f>
        <v>0</v>
      </c>
      <c r="AL161" s="1">
        <f>IFERROR(Table2[[#This Row],[Health_PIN]]*$W161,)</f>
        <v>0</v>
      </c>
      <c r="AM161" s="1">
        <f>IFERROR(Table2[[#This Row],[CCCM_PIN]]*$W161,)</f>
        <v>0</v>
      </c>
      <c r="AN161" s="1">
        <f>IFERROR(Table2[[#This Row],[ERL_PIN]]*$W161,)</f>
        <v>0</v>
      </c>
      <c r="AO161" s="1">
        <f>IFERROR(Table2[[#This Row],[NFI_PIN]]*$W161,)</f>
        <v>0</v>
      </c>
      <c r="AP161" s="1">
        <f>IFERROR(Table2[[#This Row],[Nutrition_PIN]]*$W161,)</f>
        <v>0</v>
      </c>
      <c r="AQ161" s="1">
        <f>IFERROR(Table2[[#This Row],[Education_PIN]]*$W161,)</f>
        <v>0</v>
      </c>
      <c r="AR161" s="1">
        <f>IFERROR(Table2[[#This Row],[Shelter_PIN]]*$W161,)</f>
        <v>0</v>
      </c>
      <c r="AS161" s="1">
        <f>IFERROR(Table2[[#This Row],[WASH_PIN]]*$W161,)</f>
        <v>0</v>
      </c>
      <c r="AT161" s="1">
        <f>IFERROR(Table2[[#This Row],[WASH_acute_PIN]]*$W161,)</f>
        <v>0</v>
      </c>
      <c r="AU161" s="1">
        <f>IFERROR(Table2[[#This Row],[Protection_PIN]]*$W161,)</f>
        <v>0</v>
      </c>
      <c r="AV161" s="1">
        <f>IFERROR(Table2[[#This Row],[Food_PIN]]*$W161,)</f>
        <v>0</v>
      </c>
      <c r="AW161" s="1">
        <f>IFERROR(Table2[[#This Row],[Protection_CP_PIN]]*$W161,)</f>
        <v>0</v>
      </c>
      <c r="AX161" s="1">
        <f>IFERROR(Table2[[#This Row],[Protection_GBV_PIN]]*$W161,)</f>
        <v>0</v>
      </c>
      <c r="AY161" s="1">
        <f>IFERROR(Table2[[#This Row],[Protection_MA_PIN]]*$W161,)</f>
        <v>0</v>
      </c>
      <c r="AZ161" s="1">
        <v>2</v>
      </c>
      <c r="BA161" s="1">
        <v>3</v>
      </c>
      <c r="BB161" s="1">
        <v>4</v>
      </c>
      <c r="BC161" s="1">
        <v>2</v>
      </c>
      <c r="BD161" s="1">
        <v>3</v>
      </c>
      <c r="BE161" s="1">
        <v>2</v>
      </c>
      <c r="BF161" s="1">
        <v>4</v>
      </c>
      <c r="BG161" s="1">
        <v>4</v>
      </c>
      <c r="BH161" s="1">
        <v>4</v>
      </c>
      <c r="BI161" s="1">
        <v>4</v>
      </c>
      <c r="BJ161" s="1">
        <v>4</v>
      </c>
      <c r="BK161" s="1" t="s">
        <v>665</v>
      </c>
      <c r="BL161" s="1">
        <v>4</v>
      </c>
    </row>
    <row r="162" spans="1:64" x14ac:dyDescent="0.35">
      <c r="A162" t="s">
        <v>184</v>
      </c>
      <c r="B162" t="s">
        <v>730</v>
      </c>
      <c r="C162" t="s">
        <v>185</v>
      </c>
      <c r="D162" t="s">
        <v>339</v>
      </c>
      <c r="E162" t="s">
        <v>848</v>
      </c>
      <c r="F162" t="s">
        <v>340</v>
      </c>
      <c r="G162" t="s">
        <v>339</v>
      </c>
      <c r="H162" s="1">
        <v>11996.25</v>
      </c>
      <c r="I162" s="1" t="s">
        <v>665</v>
      </c>
      <c r="J162" s="1">
        <v>15530</v>
      </c>
      <c r="K162" s="1">
        <v>3199</v>
      </c>
      <c r="L162" s="1">
        <v>3937.6133446501462</v>
      </c>
      <c r="M162" s="1">
        <v>6651.5666666666666</v>
      </c>
      <c r="N162" s="1">
        <v>3199</v>
      </c>
      <c r="O162" s="1">
        <v>15995</v>
      </c>
      <c r="P162" s="1">
        <v>7365</v>
      </c>
      <c r="Q162" s="1">
        <v>12796</v>
      </c>
      <c r="R162" s="1">
        <v>12359.772727272728</v>
      </c>
      <c r="S162" s="1">
        <v>3148.8</v>
      </c>
      <c r="T162" s="1">
        <v>7620</v>
      </c>
      <c r="U162" s="1">
        <v>12081</v>
      </c>
      <c r="V162" s="3">
        <f>_xlfn.XLOOKUP(Table2[[#This Row],[admin3Pcode]],'Inter-sector dataset'!F:F,'Inter-sector dataset'!Q:Q)</f>
        <v>0</v>
      </c>
      <c r="W162" s="3">
        <f>_xlfn.XLOOKUP(Table2[[#This Row],[admin3Pcode]],'Inter-sector dataset'!F:F,'Inter-sector dataset'!R:R)</f>
        <v>0</v>
      </c>
      <c r="X162" s="1">
        <f>IFERROR(Table2[[#This Row],[Health_PIN]]*$V162,)</f>
        <v>0</v>
      </c>
      <c r="Y162" s="1">
        <f>IFERROR(Table2[[#This Row],[CCCM_PIN]]*$V162,)</f>
        <v>0</v>
      </c>
      <c r="Z162" s="1">
        <f>IFERROR(Table2[[#This Row],[ERL_PIN]]*$V162,)</f>
        <v>0</v>
      </c>
      <c r="AA162" s="1">
        <f>IFERROR(Table2[[#This Row],[NFI_PIN]]*$V162,)</f>
        <v>0</v>
      </c>
      <c r="AB162" s="1">
        <f>IFERROR(Table2[[#This Row],[Nutrition_PIN]]*$V162,)</f>
        <v>0</v>
      </c>
      <c r="AC162" s="1">
        <f>IFERROR(Table2[[#This Row],[Education_PIN]]*$V162,)</f>
        <v>0</v>
      </c>
      <c r="AD162" s="1">
        <f>IFERROR(Table2[[#This Row],[Shelter_PIN]]*$V162,)</f>
        <v>0</v>
      </c>
      <c r="AE162" s="1">
        <f>IFERROR(Table2[[#This Row],[WASH_PIN]]*$V162,)</f>
        <v>0</v>
      </c>
      <c r="AF162" s="1">
        <f>IFERROR(Table2[[#This Row],[WASH_acute_PIN]]*$V162,)</f>
        <v>0</v>
      </c>
      <c r="AG162" s="1">
        <f>IFERROR(Table2[[#This Row],[Protection_PIN]]*$V162,)</f>
        <v>0</v>
      </c>
      <c r="AH162" s="1">
        <f>IFERROR(Table2[[#This Row],[Food_PIN]]*$V162,)</f>
        <v>0</v>
      </c>
      <c r="AI162" s="1">
        <f>IFERROR(Table2[[#This Row],[Protection_CP_PIN]]*$V162,)</f>
        <v>0</v>
      </c>
      <c r="AJ162" s="1">
        <f>IFERROR(Table2[[#This Row],[Protection_GBV_PIN]]*$V162,)</f>
        <v>0</v>
      </c>
      <c r="AK162" s="1">
        <f>IFERROR(Table2[[#This Row],[Protection_MA_PIN]]*$V162,)</f>
        <v>0</v>
      </c>
      <c r="AL162" s="1">
        <f>IFERROR(Table2[[#This Row],[Health_PIN]]*$W162,)</f>
        <v>0</v>
      </c>
      <c r="AM162" s="1">
        <f>IFERROR(Table2[[#This Row],[CCCM_PIN]]*$W162,)</f>
        <v>0</v>
      </c>
      <c r="AN162" s="1">
        <f>IFERROR(Table2[[#This Row],[ERL_PIN]]*$W162,)</f>
        <v>0</v>
      </c>
      <c r="AO162" s="1">
        <f>IFERROR(Table2[[#This Row],[NFI_PIN]]*$W162,)</f>
        <v>0</v>
      </c>
      <c r="AP162" s="1">
        <f>IFERROR(Table2[[#This Row],[Nutrition_PIN]]*$W162,)</f>
        <v>0</v>
      </c>
      <c r="AQ162" s="1">
        <f>IFERROR(Table2[[#This Row],[Education_PIN]]*$W162,)</f>
        <v>0</v>
      </c>
      <c r="AR162" s="1">
        <f>IFERROR(Table2[[#This Row],[Shelter_PIN]]*$W162,)</f>
        <v>0</v>
      </c>
      <c r="AS162" s="1">
        <f>IFERROR(Table2[[#This Row],[WASH_PIN]]*$W162,)</f>
        <v>0</v>
      </c>
      <c r="AT162" s="1">
        <f>IFERROR(Table2[[#This Row],[WASH_acute_PIN]]*$W162,)</f>
        <v>0</v>
      </c>
      <c r="AU162" s="1">
        <f>IFERROR(Table2[[#This Row],[Protection_PIN]]*$W162,)</f>
        <v>0</v>
      </c>
      <c r="AV162" s="1">
        <f>IFERROR(Table2[[#This Row],[Food_PIN]]*$W162,)</f>
        <v>0</v>
      </c>
      <c r="AW162" s="1">
        <f>IFERROR(Table2[[#This Row],[Protection_CP_PIN]]*$W162,)</f>
        <v>0</v>
      </c>
      <c r="AX162" s="1">
        <f>IFERROR(Table2[[#This Row],[Protection_GBV_PIN]]*$W162,)</f>
        <v>0</v>
      </c>
      <c r="AY162" s="1">
        <f>IFERROR(Table2[[#This Row],[Protection_MA_PIN]]*$W162,)</f>
        <v>0</v>
      </c>
      <c r="AZ162" s="1">
        <v>2</v>
      </c>
      <c r="BA162" s="1">
        <v>3</v>
      </c>
      <c r="BB162" s="1">
        <v>5</v>
      </c>
      <c r="BC162" s="1">
        <v>2</v>
      </c>
      <c r="BD162" s="1">
        <v>3</v>
      </c>
      <c r="BE162" s="1">
        <v>4</v>
      </c>
      <c r="BF162" s="1">
        <v>4</v>
      </c>
      <c r="BG162" s="1">
        <v>3</v>
      </c>
      <c r="BH162" s="1">
        <v>5</v>
      </c>
      <c r="BI162" s="1">
        <v>4</v>
      </c>
      <c r="BJ162" s="1">
        <v>4</v>
      </c>
      <c r="BK162" s="1" t="s">
        <v>665</v>
      </c>
      <c r="BL162" s="1">
        <v>4</v>
      </c>
    </row>
    <row r="163" spans="1:64" x14ac:dyDescent="0.35">
      <c r="A163" t="s">
        <v>157</v>
      </c>
      <c r="B163" t="s">
        <v>748</v>
      </c>
      <c r="C163" t="s">
        <v>158</v>
      </c>
      <c r="D163" t="s">
        <v>335</v>
      </c>
      <c r="E163" t="s">
        <v>849</v>
      </c>
      <c r="F163" t="s">
        <v>336</v>
      </c>
      <c r="G163" t="s">
        <v>335</v>
      </c>
      <c r="H163" s="1">
        <v>12399.75</v>
      </c>
      <c r="I163" s="1" t="s">
        <v>665</v>
      </c>
      <c r="J163" s="1">
        <v>15731</v>
      </c>
      <c r="K163" s="1">
        <v>0</v>
      </c>
      <c r="L163" s="1">
        <v>5081.8115142943789</v>
      </c>
      <c r="M163" s="1">
        <v>7395.05</v>
      </c>
      <c r="N163" s="1">
        <v>3307</v>
      </c>
      <c r="O163" s="1">
        <v>15200.897508761962</v>
      </c>
      <c r="P163" s="1">
        <v>4982</v>
      </c>
      <c r="Q163" s="1">
        <v>13226</v>
      </c>
      <c r="R163" s="1">
        <v>11710.875</v>
      </c>
      <c r="S163" s="1">
        <v>3492.8</v>
      </c>
      <c r="T163" s="1">
        <v>7526</v>
      </c>
      <c r="U163" s="1">
        <v>2065</v>
      </c>
      <c r="V163" s="3">
        <f>_xlfn.XLOOKUP(Table2[[#This Row],[admin3Pcode]],'Inter-sector dataset'!F:F,'Inter-sector dataset'!Q:Q)</f>
        <v>0</v>
      </c>
      <c r="W163" s="3">
        <f>_xlfn.XLOOKUP(Table2[[#This Row],[admin3Pcode]],'Inter-sector dataset'!F:F,'Inter-sector dataset'!R:R)</f>
        <v>0</v>
      </c>
      <c r="X163" s="1">
        <f>IFERROR(Table2[[#This Row],[Health_PIN]]*$V163,)</f>
        <v>0</v>
      </c>
      <c r="Y163" s="1">
        <f>IFERROR(Table2[[#This Row],[CCCM_PIN]]*$V163,)</f>
        <v>0</v>
      </c>
      <c r="Z163" s="1">
        <f>IFERROR(Table2[[#This Row],[ERL_PIN]]*$V163,)</f>
        <v>0</v>
      </c>
      <c r="AA163" s="1">
        <f>IFERROR(Table2[[#This Row],[NFI_PIN]]*$V163,)</f>
        <v>0</v>
      </c>
      <c r="AB163" s="1">
        <f>IFERROR(Table2[[#This Row],[Nutrition_PIN]]*$V163,)</f>
        <v>0</v>
      </c>
      <c r="AC163" s="1">
        <f>IFERROR(Table2[[#This Row],[Education_PIN]]*$V163,)</f>
        <v>0</v>
      </c>
      <c r="AD163" s="1">
        <f>IFERROR(Table2[[#This Row],[Shelter_PIN]]*$V163,)</f>
        <v>0</v>
      </c>
      <c r="AE163" s="1">
        <f>IFERROR(Table2[[#This Row],[WASH_PIN]]*$V163,)</f>
        <v>0</v>
      </c>
      <c r="AF163" s="1">
        <f>IFERROR(Table2[[#This Row],[WASH_acute_PIN]]*$V163,)</f>
        <v>0</v>
      </c>
      <c r="AG163" s="1">
        <f>IFERROR(Table2[[#This Row],[Protection_PIN]]*$V163,)</f>
        <v>0</v>
      </c>
      <c r="AH163" s="1">
        <f>IFERROR(Table2[[#This Row],[Food_PIN]]*$V163,)</f>
        <v>0</v>
      </c>
      <c r="AI163" s="1">
        <f>IFERROR(Table2[[#This Row],[Protection_CP_PIN]]*$V163,)</f>
        <v>0</v>
      </c>
      <c r="AJ163" s="1">
        <f>IFERROR(Table2[[#This Row],[Protection_GBV_PIN]]*$V163,)</f>
        <v>0</v>
      </c>
      <c r="AK163" s="1">
        <f>IFERROR(Table2[[#This Row],[Protection_MA_PIN]]*$V163,)</f>
        <v>0</v>
      </c>
      <c r="AL163" s="1">
        <f>IFERROR(Table2[[#This Row],[Health_PIN]]*$W163,)</f>
        <v>0</v>
      </c>
      <c r="AM163" s="1">
        <f>IFERROR(Table2[[#This Row],[CCCM_PIN]]*$W163,)</f>
        <v>0</v>
      </c>
      <c r="AN163" s="1">
        <f>IFERROR(Table2[[#This Row],[ERL_PIN]]*$W163,)</f>
        <v>0</v>
      </c>
      <c r="AO163" s="1">
        <f>IFERROR(Table2[[#This Row],[NFI_PIN]]*$W163,)</f>
        <v>0</v>
      </c>
      <c r="AP163" s="1">
        <f>IFERROR(Table2[[#This Row],[Nutrition_PIN]]*$W163,)</f>
        <v>0</v>
      </c>
      <c r="AQ163" s="1">
        <f>IFERROR(Table2[[#This Row],[Education_PIN]]*$W163,)</f>
        <v>0</v>
      </c>
      <c r="AR163" s="1">
        <f>IFERROR(Table2[[#This Row],[Shelter_PIN]]*$W163,)</f>
        <v>0</v>
      </c>
      <c r="AS163" s="1">
        <f>IFERROR(Table2[[#This Row],[WASH_PIN]]*$W163,)</f>
        <v>0</v>
      </c>
      <c r="AT163" s="1">
        <f>IFERROR(Table2[[#This Row],[WASH_acute_PIN]]*$W163,)</f>
        <v>0</v>
      </c>
      <c r="AU163" s="1">
        <f>IFERROR(Table2[[#This Row],[Protection_PIN]]*$W163,)</f>
        <v>0</v>
      </c>
      <c r="AV163" s="1">
        <f>IFERROR(Table2[[#This Row],[Food_PIN]]*$W163,)</f>
        <v>0</v>
      </c>
      <c r="AW163" s="1">
        <f>IFERROR(Table2[[#This Row],[Protection_CP_PIN]]*$W163,)</f>
        <v>0</v>
      </c>
      <c r="AX163" s="1">
        <f>IFERROR(Table2[[#This Row],[Protection_GBV_PIN]]*$W163,)</f>
        <v>0</v>
      </c>
      <c r="AY163" s="1">
        <f>IFERROR(Table2[[#This Row],[Protection_MA_PIN]]*$W163,)</f>
        <v>0</v>
      </c>
      <c r="AZ163" s="1">
        <v>2</v>
      </c>
      <c r="BA163" s="1">
        <v>4</v>
      </c>
      <c r="BB163" s="1">
        <v>3</v>
      </c>
      <c r="BC163" s="1">
        <v>1</v>
      </c>
      <c r="BD163" s="1">
        <v>3</v>
      </c>
      <c r="BE163" s="1">
        <v>4</v>
      </c>
      <c r="BF163" s="1">
        <v>4</v>
      </c>
      <c r="BG163" s="1">
        <v>3</v>
      </c>
      <c r="BH163" s="1">
        <v>4</v>
      </c>
      <c r="BI163" s="1">
        <v>4</v>
      </c>
      <c r="BJ163" s="1">
        <v>4</v>
      </c>
      <c r="BK163" s="1" t="s">
        <v>665</v>
      </c>
      <c r="BL163" s="1">
        <v>4</v>
      </c>
    </row>
    <row r="164" spans="1:64" x14ac:dyDescent="0.35">
      <c r="A164" t="s">
        <v>192</v>
      </c>
      <c r="B164" t="s">
        <v>711</v>
      </c>
      <c r="C164" t="s">
        <v>193</v>
      </c>
      <c r="D164" t="s">
        <v>248</v>
      </c>
      <c r="E164" t="s">
        <v>850</v>
      </c>
      <c r="F164" t="s">
        <v>249</v>
      </c>
      <c r="G164" t="s">
        <v>248</v>
      </c>
      <c r="H164" s="1">
        <v>13339.5</v>
      </c>
      <c r="I164" s="1">
        <v>685</v>
      </c>
      <c r="J164" s="1">
        <v>10708</v>
      </c>
      <c r="K164" s="1">
        <v>3557</v>
      </c>
      <c r="L164" s="1">
        <v>5762.4056600279582</v>
      </c>
      <c r="M164" s="1">
        <v>6704.2666666666664</v>
      </c>
      <c r="N164" s="1">
        <v>3557</v>
      </c>
      <c r="O164" s="1">
        <v>16447.268817204302</v>
      </c>
      <c r="P164" s="1">
        <v>11284</v>
      </c>
      <c r="Q164" s="1">
        <v>14229</v>
      </c>
      <c r="R164" s="1">
        <v>12748.571428571429</v>
      </c>
      <c r="S164" s="1">
        <v>5638.2</v>
      </c>
      <c r="T164" s="1">
        <v>7637</v>
      </c>
      <c r="U164" s="1">
        <v>17786</v>
      </c>
      <c r="V164" s="3">
        <f>_xlfn.XLOOKUP(Table2[[#This Row],[admin3Pcode]],'Inter-sector dataset'!F:F,'Inter-sector dataset'!Q:Q)</f>
        <v>1</v>
      </c>
      <c r="W164" s="3">
        <f>_xlfn.XLOOKUP(Table2[[#This Row],[admin3Pcode]],'Inter-sector dataset'!F:F,'Inter-sector dataset'!R:R)</f>
        <v>0</v>
      </c>
      <c r="X164" s="1">
        <f>IFERROR(Table2[[#This Row],[Health_PIN]]*$V164,)</f>
        <v>13339.5</v>
      </c>
      <c r="Y164" s="1">
        <f>IFERROR(Table2[[#This Row],[CCCM_PIN]]*$V164,)</f>
        <v>685</v>
      </c>
      <c r="Z164" s="1">
        <f>IFERROR(Table2[[#This Row],[ERL_PIN]]*$V164,)</f>
        <v>10708</v>
      </c>
      <c r="AA164" s="1">
        <f>IFERROR(Table2[[#This Row],[NFI_PIN]]*$V164,)</f>
        <v>3557</v>
      </c>
      <c r="AB164" s="1">
        <f>IFERROR(Table2[[#This Row],[Nutrition_PIN]]*$V164,)</f>
        <v>5762.4056600279582</v>
      </c>
      <c r="AC164" s="1">
        <f>IFERROR(Table2[[#This Row],[Education_PIN]]*$V164,)</f>
        <v>6704.2666666666664</v>
      </c>
      <c r="AD164" s="1">
        <f>IFERROR(Table2[[#This Row],[Shelter_PIN]]*$V164,)</f>
        <v>3557</v>
      </c>
      <c r="AE164" s="1">
        <f>IFERROR(Table2[[#This Row],[WASH_PIN]]*$V164,)</f>
        <v>16447.268817204302</v>
      </c>
      <c r="AF164" s="1">
        <f>IFERROR(Table2[[#This Row],[WASH_acute_PIN]]*$V164,)</f>
        <v>11284</v>
      </c>
      <c r="AG164" s="1">
        <f>IFERROR(Table2[[#This Row],[Protection_PIN]]*$V164,)</f>
        <v>14229</v>
      </c>
      <c r="AH164" s="1">
        <f>IFERROR(Table2[[#This Row],[Food_PIN]]*$V164,)</f>
        <v>12748.571428571429</v>
      </c>
      <c r="AI164" s="1">
        <f>IFERROR(Table2[[#This Row],[Protection_CP_PIN]]*$V164,)</f>
        <v>5638.2</v>
      </c>
      <c r="AJ164" s="1">
        <f>IFERROR(Table2[[#This Row],[Protection_GBV_PIN]]*$V164,)</f>
        <v>7637</v>
      </c>
      <c r="AK164" s="1">
        <f>IFERROR(Table2[[#This Row],[Protection_MA_PIN]]*$V164,)</f>
        <v>17786</v>
      </c>
      <c r="AL164" s="1">
        <f>IFERROR(Table2[[#This Row],[Health_PIN]]*$W164,)</f>
        <v>0</v>
      </c>
      <c r="AM164" s="1">
        <f>IFERROR(Table2[[#This Row],[CCCM_PIN]]*$W164,)</f>
        <v>0</v>
      </c>
      <c r="AN164" s="1">
        <f>IFERROR(Table2[[#This Row],[ERL_PIN]]*$W164,)</f>
        <v>0</v>
      </c>
      <c r="AO164" s="1">
        <f>IFERROR(Table2[[#This Row],[NFI_PIN]]*$W164,)</f>
        <v>0</v>
      </c>
      <c r="AP164" s="1">
        <f>IFERROR(Table2[[#This Row],[Nutrition_PIN]]*$W164,)</f>
        <v>0</v>
      </c>
      <c r="AQ164" s="1">
        <f>IFERROR(Table2[[#This Row],[Education_PIN]]*$W164,)</f>
        <v>0</v>
      </c>
      <c r="AR164" s="1">
        <f>IFERROR(Table2[[#This Row],[Shelter_PIN]]*$W164,)</f>
        <v>0</v>
      </c>
      <c r="AS164" s="1">
        <f>IFERROR(Table2[[#This Row],[WASH_PIN]]*$W164,)</f>
        <v>0</v>
      </c>
      <c r="AT164" s="1">
        <f>IFERROR(Table2[[#This Row],[WASH_acute_PIN]]*$W164,)</f>
        <v>0</v>
      </c>
      <c r="AU164" s="1">
        <f>IFERROR(Table2[[#This Row],[Protection_PIN]]*$W164,)</f>
        <v>0</v>
      </c>
      <c r="AV164" s="1">
        <f>IFERROR(Table2[[#This Row],[Food_PIN]]*$W164,)</f>
        <v>0</v>
      </c>
      <c r="AW164" s="1">
        <f>IFERROR(Table2[[#This Row],[Protection_CP_PIN]]*$W164,)</f>
        <v>0</v>
      </c>
      <c r="AX164" s="1">
        <f>IFERROR(Table2[[#This Row],[Protection_GBV_PIN]]*$W164,)</f>
        <v>0</v>
      </c>
      <c r="AY164" s="1">
        <f>IFERROR(Table2[[#This Row],[Protection_MA_PIN]]*$W164,)</f>
        <v>0</v>
      </c>
      <c r="AZ164" s="1">
        <v>2</v>
      </c>
      <c r="BA164" s="1">
        <v>3</v>
      </c>
      <c r="BB164" s="1">
        <v>4</v>
      </c>
      <c r="BC164" s="1">
        <v>2</v>
      </c>
      <c r="BD164" s="1">
        <v>3</v>
      </c>
      <c r="BE164" s="1">
        <v>4</v>
      </c>
      <c r="BF164" s="1">
        <v>4</v>
      </c>
      <c r="BG164" s="1">
        <v>4</v>
      </c>
      <c r="BH164" s="1">
        <v>4</v>
      </c>
      <c r="BI164" s="1">
        <v>4</v>
      </c>
      <c r="BJ164" s="1">
        <v>4</v>
      </c>
      <c r="BK164" s="1">
        <v>4</v>
      </c>
      <c r="BL164" s="1">
        <v>4</v>
      </c>
    </row>
    <row r="165" spans="1:64" x14ac:dyDescent="0.35">
      <c r="A165" t="s">
        <v>104</v>
      </c>
      <c r="B165" t="s">
        <v>677</v>
      </c>
      <c r="C165" t="s">
        <v>105</v>
      </c>
      <c r="D165" t="s">
        <v>388</v>
      </c>
      <c r="E165" t="s">
        <v>851</v>
      </c>
      <c r="F165" t="s">
        <v>389</v>
      </c>
      <c r="G165" t="s">
        <v>388</v>
      </c>
      <c r="H165" s="1">
        <v>14445.75</v>
      </c>
      <c r="I165" s="1" t="s">
        <v>665</v>
      </c>
      <c r="J165" s="1">
        <v>19261</v>
      </c>
      <c r="K165" s="1">
        <v>3941</v>
      </c>
      <c r="L165" s="1">
        <v>4872.0660544189377</v>
      </c>
      <c r="M165" s="1">
        <v>18703.333333333332</v>
      </c>
      <c r="N165" s="1">
        <v>5778</v>
      </c>
      <c r="O165" s="1">
        <v>17240.146941171042</v>
      </c>
      <c r="P165" s="1">
        <v>5271</v>
      </c>
      <c r="Q165" s="1">
        <v>15409</v>
      </c>
      <c r="R165" s="1">
        <v>6023.44</v>
      </c>
      <c r="S165" s="1">
        <v>8328</v>
      </c>
      <c r="T165" s="1">
        <v>11193</v>
      </c>
      <c r="U165" s="1">
        <v>19199</v>
      </c>
      <c r="V165" s="3">
        <f>_xlfn.XLOOKUP(Table2[[#This Row],[admin3Pcode]],'Inter-sector dataset'!F:F,'Inter-sector dataset'!Q:Q)</f>
        <v>0</v>
      </c>
      <c r="W165" s="3">
        <f>_xlfn.XLOOKUP(Table2[[#This Row],[admin3Pcode]],'Inter-sector dataset'!F:F,'Inter-sector dataset'!R:R)</f>
        <v>0</v>
      </c>
      <c r="X165" s="1">
        <f>IFERROR(Table2[[#This Row],[Health_PIN]]*$V165,)</f>
        <v>0</v>
      </c>
      <c r="Y165" s="1">
        <f>IFERROR(Table2[[#This Row],[CCCM_PIN]]*$V165,)</f>
        <v>0</v>
      </c>
      <c r="Z165" s="1">
        <f>IFERROR(Table2[[#This Row],[ERL_PIN]]*$V165,)</f>
        <v>0</v>
      </c>
      <c r="AA165" s="1">
        <f>IFERROR(Table2[[#This Row],[NFI_PIN]]*$V165,)</f>
        <v>0</v>
      </c>
      <c r="AB165" s="1">
        <f>IFERROR(Table2[[#This Row],[Nutrition_PIN]]*$V165,)</f>
        <v>0</v>
      </c>
      <c r="AC165" s="1">
        <f>IFERROR(Table2[[#This Row],[Education_PIN]]*$V165,)</f>
        <v>0</v>
      </c>
      <c r="AD165" s="1">
        <f>IFERROR(Table2[[#This Row],[Shelter_PIN]]*$V165,)</f>
        <v>0</v>
      </c>
      <c r="AE165" s="1">
        <f>IFERROR(Table2[[#This Row],[WASH_PIN]]*$V165,)</f>
        <v>0</v>
      </c>
      <c r="AF165" s="1">
        <f>IFERROR(Table2[[#This Row],[WASH_acute_PIN]]*$V165,)</f>
        <v>0</v>
      </c>
      <c r="AG165" s="1">
        <f>IFERROR(Table2[[#This Row],[Protection_PIN]]*$V165,)</f>
        <v>0</v>
      </c>
      <c r="AH165" s="1">
        <f>IFERROR(Table2[[#This Row],[Food_PIN]]*$V165,)</f>
        <v>0</v>
      </c>
      <c r="AI165" s="1">
        <f>IFERROR(Table2[[#This Row],[Protection_CP_PIN]]*$V165,)</f>
        <v>0</v>
      </c>
      <c r="AJ165" s="1">
        <f>IFERROR(Table2[[#This Row],[Protection_GBV_PIN]]*$V165,)</f>
        <v>0</v>
      </c>
      <c r="AK165" s="1">
        <f>IFERROR(Table2[[#This Row],[Protection_MA_PIN]]*$V165,)</f>
        <v>0</v>
      </c>
      <c r="AL165" s="1">
        <f>IFERROR(Table2[[#This Row],[Health_PIN]]*$W165,)</f>
        <v>0</v>
      </c>
      <c r="AM165" s="1">
        <f>IFERROR(Table2[[#This Row],[CCCM_PIN]]*$W165,)</f>
        <v>0</v>
      </c>
      <c r="AN165" s="1">
        <f>IFERROR(Table2[[#This Row],[ERL_PIN]]*$W165,)</f>
        <v>0</v>
      </c>
      <c r="AO165" s="1">
        <f>IFERROR(Table2[[#This Row],[NFI_PIN]]*$W165,)</f>
        <v>0</v>
      </c>
      <c r="AP165" s="1">
        <f>IFERROR(Table2[[#This Row],[Nutrition_PIN]]*$W165,)</f>
        <v>0</v>
      </c>
      <c r="AQ165" s="1">
        <f>IFERROR(Table2[[#This Row],[Education_PIN]]*$W165,)</f>
        <v>0</v>
      </c>
      <c r="AR165" s="1">
        <f>IFERROR(Table2[[#This Row],[Shelter_PIN]]*$W165,)</f>
        <v>0</v>
      </c>
      <c r="AS165" s="1">
        <f>IFERROR(Table2[[#This Row],[WASH_PIN]]*$W165,)</f>
        <v>0</v>
      </c>
      <c r="AT165" s="1">
        <f>IFERROR(Table2[[#This Row],[WASH_acute_PIN]]*$W165,)</f>
        <v>0</v>
      </c>
      <c r="AU165" s="1">
        <f>IFERROR(Table2[[#This Row],[Protection_PIN]]*$W165,)</f>
        <v>0</v>
      </c>
      <c r="AV165" s="1">
        <f>IFERROR(Table2[[#This Row],[Food_PIN]]*$W165,)</f>
        <v>0</v>
      </c>
      <c r="AW165" s="1">
        <f>IFERROR(Table2[[#This Row],[Protection_CP_PIN]]*$W165,)</f>
        <v>0</v>
      </c>
      <c r="AX165" s="1">
        <f>IFERROR(Table2[[#This Row],[Protection_GBV_PIN]]*$W165,)</f>
        <v>0</v>
      </c>
      <c r="AY165" s="1">
        <f>IFERROR(Table2[[#This Row],[Protection_MA_PIN]]*$W165,)</f>
        <v>0</v>
      </c>
      <c r="AZ165" s="1">
        <v>3</v>
      </c>
      <c r="BA165" s="1">
        <v>4</v>
      </c>
      <c r="BB165" s="1">
        <v>4</v>
      </c>
      <c r="BC165" s="1">
        <v>3</v>
      </c>
      <c r="BD165" s="1">
        <v>4</v>
      </c>
      <c r="BE165" s="1">
        <v>4</v>
      </c>
      <c r="BF165" s="1">
        <v>4</v>
      </c>
      <c r="BG165" s="1">
        <v>5</v>
      </c>
      <c r="BH165" s="1">
        <v>5</v>
      </c>
      <c r="BI165" s="1">
        <v>4</v>
      </c>
      <c r="BJ165" s="1">
        <v>4</v>
      </c>
      <c r="BK165" s="1" t="s">
        <v>665</v>
      </c>
      <c r="BL165" s="1">
        <v>4</v>
      </c>
    </row>
    <row r="166" spans="1:64" x14ac:dyDescent="0.35">
      <c r="A166" t="s">
        <v>54</v>
      </c>
      <c r="B166" t="s">
        <v>709</v>
      </c>
      <c r="C166" t="s">
        <v>55</v>
      </c>
      <c r="D166" t="s">
        <v>487</v>
      </c>
      <c r="E166" t="s">
        <v>852</v>
      </c>
      <c r="F166" t="s">
        <v>488</v>
      </c>
      <c r="G166" t="s">
        <v>487</v>
      </c>
      <c r="H166" s="1">
        <v>14619</v>
      </c>
      <c r="I166" s="1" t="s">
        <v>665</v>
      </c>
      <c r="J166" s="1">
        <v>9733</v>
      </c>
      <c r="K166" s="1">
        <v>6281</v>
      </c>
      <c r="L166" s="1">
        <v>4575.1998186979308</v>
      </c>
      <c r="M166" s="1">
        <v>9239.033333333331</v>
      </c>
      <c r="N166" s="1">
        <v>3898</v>
      </c>
      <c r="O166" s="1">
        <v>759.78242279462722</v>
      </c>
      <c r="P166" s="1">
        <v>0</v>
      </c>
      <c r="Q166" s="1">
        <v>15594</v>
      </c>
      <c r="R166" s="1">
        <v>18950.555555555558</v>
      </c>
      <c r="S166" s="1">
        <v>6255.9</v>
      </c>
      <c r="T166" s="1">
        <v>8202</v>
      </c>
      <c r="U166" s="1">
        <v>19492</v>
      </c>
      <c r="V166" s="3">
        <f>_xlfn.XLOOKUP(Table2[[#This Row],[admin3Pcode]],'Inter-sector dataset'!F:F,'Inter-sector dataset'!Q:Q)</f>
        <v>0</v>
      </c>
      <c r="W166" s="3">
        <f>_xlfn.XLOOKUP(Table2[[#This Row],[admin3Pcode]],'Inter-sector dataset'!F:F,'Inter-sector dataset'!R:R)</f>
        <v>0</v>
      </c>
      <c r="X166" s="1">
        <f>IFERROR(Table2[[#This Row],[Health_PIN]]*$V166,)</f>
        <v>0</v>
      </c>
      <c r="Y166" s="1">
        <f>IFERROR(Table2[[#This Row],[CCCM_PIN]]*$V166,)</f>
        <v>0</v>
      </c>
      <c r="Z166" s="1">
        <f>IFERROR(Table2[[#This Row],[ERL_PIN]]*$V166,)</f>
        <v>0</v>
      </c>
      <c r="AA166" s="1">
        <f>IFERROR(Table2[[#This Row],[NFI_PIN]]*$V166,)</f>
        <v>0</v>
      </c>
      <c r="AB166" s="1">
        <f>IFERROR(Table2[[#This Row],[Nutrition_PIN]]*$V166,)</f>
        <v>0</v>
      </c>
      <c r="AC166" s="1">
        <f>IFERROR(Table2[[#This Row],[Education_PIN]]*$V166,)</f>
        <v>0</v>
      </c>
      <c r="AD166" s="1">
        <f>IFERROR(Table2[[#This Row],[Shelter_PIN]]*$V166,)</f>
        <v>0</v>
      </c>
      <c r="AE166" s="1">
        <f>IFERROR(Table2[[#This Row],[WASH_PIN]]*$V166,)</f>
        <v>0</v>
      </c>
      <c r="AF166" s="1">
        <f>IFERROR(Table2[[#This Row],[WASH_acute_PIN]]*$V166,)</f>
        <v>0</v>
      </c>
      <c r="AG166" s="1">
        <f>IFERROR(Table2[[#This Row],[Protection_PIN]]*$V166,)</f>
        <v>0</v>
      </c>
      <c r="AH166" s="1">
        <f>IFERROR(Table2[[#This Row],[Food_PIN]]*$V166,)</f>
        <v>0</v>
      </c>
      <c r="AI166" s="1">
        <f>IFERROR(Table2[[#This Row],[Protection_CP_PIN]]*$V166,)</f>
        <v>0</v>
      </c>
      <c r="AJ166" s="1">
        <f>IFERROR(Table2[[#This Row],[Protection_GBV_PIN]]*$V166,)</f>
        <v>0</v>
      </c>
      <c r="AK166" s="1">
        <f>IFERROR(Table2[[#This Row],[Protection_MA_PIN]]*$V166,)</f>
        <v>0</v>
      </c>
      <c r="AL166" s="1">
        <f>IFERROR(Table2[[#This Row],[Health_PIN]]*$W166,)</f>
        <v>0</v>
      </c>
      <c r="AM166" s="1">
        <f>IFERROR(Table2[[#This Row],[CCCM_PIN]]*$W166,)</f>
        <v>0</v>
      </c>
      <c r="AN166" s="1">
        <f>IFERROR(Table2[[#This Row],[ERL_PIN]]*$W166,)</f>
        <v>0</v>
      </c>
      <c r="AO166" s="1">
        <f>IFERROR(Table2[[#This Row],[NFI_PIN]]*$W166,)</f>
        <v>0</v>
      </c>
      <c r="AP166" s="1">
        <f>IFERROR(Table2[[#This Row],[Nutrition_PIN]]*$W166,)</f>
        <v>0</v>
      </c>
      <c r="AQ166" s="1">
        <f>IFERROR(Table2[[#This Row],[Education_PIN]]*$W166,)</f>
        <v>0</v>
      </c>
      <c r="AR166" s="1">
        <f>IFERROR(Table2[[#This Row],[Shelter_PIN]]*$W166,)</f>
        <v>0</v>
      </c>
      <c r="AS166" s="1">
        <f>IFERROR(Table2[[#This Row],[WASH_PIN]]*$W166,)</f>
        <v>0</v>
      </c>
      <c r="AT166" s="1">
        <f>IFERROR(Table2[[#This Row],[WASH_acute_PIN]]*$W166,)</f>
        <v>0</v>
      </c>
      <c r="AU166" s="1">
        <f>IFERROR(Table2[[#This Row],[Protection_PIN]]*$W166,)</f>
        <v>0</v>
      </c>
      <c r="AV166" s="1">
        <f>IFERROR(Table2[[#This Row],[Food_PIN]]*$W166,)</f>
        <v>0</v>
      </c>
      <c r="AW166" s="1">
        <f>IFERROR(Table2[[#This Row],[Protection_CP_PIN]]*$W166,)</f>
        <v>0</v>
      </c>
      <c r="AX166" s="1">
        <f>IFERROR(Table2[[#This Row],[Protection_GBV_PIN]]*$W166,)</f>
        <v>0</v>
      </c>
      <c r="AY166" s="1">
        <f>IFERROR(Table2[[#This Row],[Protection_MA_PIN]]*$W166,)</f>
        <v>0</v>
      </c>
      <c r="AZ166" s="1">
        <v>2</v>
      </c>
      <c r="BA166" s="1">
        <v>5</v>
      </c>
      <c r="BB166" s="1">
        <v>3</v>
      </c>
      <c r="BC166" s="1">
        <v>4</v>
      </c>
      <c r="BD166" s="1">
        <v>3</v>
      </c>
      <c r="BE166" s="1">
        <v>4</v>
      </c>
      <c r="BF166" s="1">
        <v>4</v>
      </c>
      <c r="BG166" s="1">
        <v>4</v>
      </c>
      <c r="BH166" s="1">
        <v>4</v>
      </c>
      <c r="BI166" s="1">
        <v>4</v>
      </c>
      <c r="BJ166" s="1">
        <v>4</v>
      </c>
      <c r="BK166" s="1" t="s">
        <v>665</v>
      </c>
      <c r="BL166" s="1">
        <v>2</v>
      </c>
    </row>
    <row r="167" spans="1:64" x14ac:dyDescent="0.35">
      <c r="A167" t="s">
        <v>54</v>
      </c>
      <c r="B167" t="s">
        <v>709</v>
      </c>
      <c r="C167" t="s">
        <v>55</v>
      </c>
      <c r="D167" t="s">
        <v>320</v>
      </c>
      <c r="E167" t="s">
        <v>853</v>
      </c>
      <c r="F167" t="s">
        <v>321</v>
      </c>
      <c r="G167" t="s">
        <v>320</v>
      </c>
      <c r="H167" s="1">
        <v>14781</v>
      </c>
      <c r="I167" s="1" t="s">
        <v>665</v>
      </c>
      <c r="J167" s="1">
        <v>16423</v>
      </c>
      <c r="K167" s="1">
        <v>10140</v>
      </c>
      <c r="L167" s="1">
        <v>6212.2241221498552</v>
      </c>
      <c r="M167" s="1">
        <v>9385.7666666666664</v>
      </c>
      <c r="N167" s="1">
        <v>3942</v>
      </c>
      <c r="O167" s="1">
        <v>11872.417666956606</v>
      </c>
      <c r="P167" s="1">
        <v>1945</v>
      </c>
      <c r="Q167" s="1">
        <v>15766</v>
      </c>
      <c r="R167" s="1">
        <v>12810.199999999999</v>
      </c>
      <c r="S167" s="1">
        <v>4655.2</v>
      </c>
      <c r="T167" s="1">
        <v>8322</v>
      </c>
      <c r="U167" s="1">
        <v>19673</v>
      </c>
      <c r="V167" s="3">
        <f>_xlfn.XLOOKUP(Table2[[#This Row],[admin3Pcode]],'Inter-sector dataset'!F:F,'Inter-sector dataset'!Q:Q)</f>
        <v>0.12</v>
      </c>
      <c r="W167" s="3">
        <f>_xlfn.XLOOKUP(Table2[[#This Row],[admin3Pcode]],'Inter-sector dataset'!F:F,'Inter-sector dataset'!R:R)</f>
        <v>0</v>
      </c>
      <c r="X167" s="1">
        <f>IFERROR(Table2[[#This Row],[Health_PIN]]*$V167,)</f>
        <v>1773.72</v>
      </c>
      <c r="Y167" s="1">
        <f>IFERROR(Table2[[#This Row],[CCCM_PIN]]*$V167,)</f>
        <v>0</v>
      </c>
      <c r="Z167" s="1">
        <f>IFERROR(Table2[[#This Row],[ERL_PIN]]*$V167,)</f>
        <v>1970.76</v>
      </c>
      <c r="AA167" s="1">
        <f>IFERROR(Table2[[#This Row],[NFI_PIN]]*$V167,)</f>
        <v>1216.8</v>
      </c>
      <c r="AB167" s="1">
        <f>IFERROR(Table2[[#This Row],[Nutrition_PIN]]*$V167,)</f>
        <v>745.46689465798261</v>
      </c>
      <c r="AC167" s="1">
        <f>IFERROR(Table2[[#This Row],[Education_PIN]]*$V167,)</f>
        <v>1126.2919999999999</v>
      </c>
      <c r="AD167" s="1">
        <f>IFERROR(Table2[[#This Row],[Shelter_PIN]]*$V167,)</f>
        <v>473.03999999999996</v>
      </c>
      <c r="AE167" s="1">
        <f>IFERROR(Table2[[#This Row],[WASH_PIN]]*$V167,)</f>
        <v>1424.6901200347927</v>
      </c>
      <c r="AF167" s="1">
        <f>IFERROR(Table2[[#This Row],[WASH_acute_PIN]]*$V167,)</f>
        <v>233.39999999999998</v>
      </c>
      <c r="AG167" s="1">
        <f>IFERROR(Table2[[#This Row],[Protection_PIN]]*$V167,)</f>
        <v>1891.9199999999998</v>
      </c>
      <c r="AH167" s="1">
        <f>IFERROR(Table2[[#This Row],[Food_PIN]]*$V167,)</f>
        <v>1537.2239999999997</v>
      </c>
      <c r="AI167" s="1">
        <f>IFERROR(Table2[[#This Row],[Protection_CP_PIN]]*$V167,)</f>
        <v>558.62399999999991</v>
      </c>
      <c r="AJ167" s="1">
        <f>IFERROR(Table2[[#This Row],[Protection_GBV_PIN]]*$V167,)</f>
        <v>998.64</v>
      </c>
      <c r="AK167" s="1">
        <f>IFERROR(Table2[[#This Row],[Protection_MA_PIN]]*$V167,)</f>
        <v>2360.7599999999998</v>
      </c>
      <c r="AL167" s="1">
        <f>IFERROR(Table2[[#This Row],[Health_PIN]]*$W167,)</f>
        <v>0</v>
      </c>
      <c r="AM167" s="1">
        <f>IFERROR(Table2[[#This Row],[CCCM_PIN]]*$W167,)</f>
        <v>0</v>
      </c>
      <c r="AN167" s="1">
        <f>IFERROR(Table2[[#This Row],[ERL_PIN]]*$W167,)</f>
        <v>0</v>
      </c>
      <c r="AO167" s="1">
        <f>IFERROR(Table2[[#This Row],[NFI_PIN]]*$W167,)</f>
        <v>0</v>
      </c>
      <c r="AP167" s="1">
        <f>IFERROR(Table2[[#This Row],[Nutrition_PIN]]*$W167,)</f>
        <v>0</v>
      </c>
      <c r="AQ167" s="1">
        <f>IFERROR(Table2[[#This Row],[Education_PIN]]*$W167,)</f>
        <v>0</v>
      </c>
      <c r="AR167" s="1">
        <f>IFERROR(Table2[[#This Row],[Shelter_PIN]]*$W167,)</f>
        <v>0</v>
      </c>
      <c r="AS167" s="1">
        <f>IFERROR(Table2[[#This Row],[WASH_PIN]]*$W167,)</f>
        <v>0</v>
      </c>
      <c r="AT167" s="1">
        <f>IFERROR(Table2[[#This Row],[WASH_acute_PIN]]*$W167,)</f>
        <v>0</v>
      </c>
      <c r="AU167" s="1">
        <f>IFERROR(Table2[[#This Row],[Protection_PIN]]*$W167,)</f>
        <v>0</v>
      </c>
      <c r="AV167" s="1">
        <f>IFERROR(Table2[[#This Row],[Food_PIN]]*$W167,)</f>
        <v>0</v>
      </c>
      <c r="AW167" s="1">
        <f>IFERROR(Table2[[#This Row],[Protection_CP_PIN]]*$W167,)</f>
        <v>0</v>
      </c>
      <c r="AX167" s="1">
        <f>IFERROR(Table2[[#This Row],[Protection_GBV_PIN]]*$W167,)</f>
        <v>0</v>
      </c>
      <c r="AY167" s="1">
        <f>IFERROR(Table2[[#This Row],[Protection_MA_PIN]]*$W167,)</f>
        <v>0</v>
      </c>
      <c r="AZ167" s="1">
        <v>2</v>
      </c>
      <c r="BA167" s="1">
        <v>4</v>
      </c>
      <c r="BB167" s="1">
        <v>4</v>
      </c>
      <c r="BC167" s="1">
        <v>4</v>
      </c>
      <c r="BD167" s="1">
        <v>3</v>
      </c>
      <c r="BE167" s="1">
        <v>4</v>
      </c>
      <c r="BF167" s="1">
        <v>4</v>
      </c>
      <c r="BG167" s="1">
        <v>3</v>
      </c>
      <c r="BH167" s="1">
        <v>4</v>
      </c>
      <c r="BI167" s="1">
        <v>4</v>
      </c>
      <c r="BJ167" s="1">
        <v>3</v>
      </c>
      <c r="BK167" s="1" t="s">
        <v>665</v>
      </c>
      <c r="BL167" s="1">
        <v>3</v>
      </c>
    </row>
    <row r="168" spans="1:64" x14ac:dyDescent="0.35">
      <c r="A168" t="s">
        <v>205</v>
      </c>
      <c r="B168" t="s">
        <v>723</v>
      </c>
      <c r="C168" t="s">
        <v>206</v>
      </c>
      <c r="D168" t="s">
        <v>418</v>
      </c>
      <c r="E168" t="s">
        <v>854</v>
      </c>
      <c r="F168" t="s">
        <v>419</v>
      </c>
      <c r="G168" t="s">
        <v>418</v>
      </c>
      <c r="H168" s="1">
        <v>10563.5</v>
      </c>
      <c r="I168" s="1" t="s">
        <v>665</v>
      </c>
      <c r="J168" s="1">
        <v>20579</v>
      </c>
      <c r="K168" s="1">
        <v>4747</v>
      </c>
      <c r="L168" s="1">
        <v>5102.1171417516907</v>
      </c>
      <c r="M168" s="1">
        <v>8267.7000000000007</v>
      </c>
      <c r="N168" s="1">
        <v>4231</v>
      </c>
      <c r="O168" s="1">
        <v>18368.180979411612</v>
      </c>
      <c r="P168" s="1">
        <v>9235</v>
      </c>
      <c r="Q168" s="1">
        <v>16902</v>
      </c>
      <c r="R168" s="1">
        <v>11913.721804511277</v>
      </c>
      <c r="S168" s="1">
        <v>4289.2000000000007</v>
      </c>
      <c r="T168" s="1">
        <v>8476</v>
      </c>
      <c r="U168" s="1">
        <v>14834</v>
      </c>
      <c r="V168" s="3">
        <f>_xlfn.XLOOKUP(Table2[[#This Row],[admin3Pcode]],'Inter-sector dataset'!F:F,'Inter-sector dataset'!Q:Q)</f>
        <v>0</v>
      </c>
      <c r="W168" s="3">
        <f>_xlfn.XLOOKUP(Table2[[#This Row],[admin3Pcode]],'Inter-sector dataset'!F:F,'Inter-sector dataset'!R:R)</f>
        <v>0</v>
      </c>
      <c r="X168" s="1">
        <f>IFERROR(Table2[[#This Row],[Health_PIN]]*$V168,)</f>
        <v>0</v>
      </c>
      <c r="Y168" s="1">
        <f>IFERROR(Table2[[#This Row],[CCCM_PIN]]*$V168,)</f>
        <v>0</v>
      </c>
      <c r="Z168" s="1">
        <f>IFERROR(Table2[[#This Row],[ERL_PIN]]*$V168,)</f>
        <v>0</v>
      </c>
      <c r="AA168" s="1">
        <f>IFERROR(Table2[[#This Row],[NFI_PIN]]*$V168,)</f>
        <v>0</v>
      </c>
      <c r="AB168" s="1">
        <f>IFERROR(Table2[[#This Row],[Nutrition_PIN]]*$V168,)</f>
        <v>0</v>
      </c>
      <c r="AC168" s="1">
        <f>IFERROR(Table2[[#This Row],[Education_PIN]]*$V168,)</f>
        <v>0</v>
      </c>
      <c r="AD168" s="1">
        <f>IFERROR(Table2[[#This Row],[Shelter_PIN]]*$V168,)</f>
        <v>0</v>
      </c>
      <c r="AE168" s="1">
        <f>IFERROR(Table2[[#This Row],[WASH_PIN]]*$V168,)</f>
        <v>0</v>
      </c>
      <c r="AF168" s="1">
        <f>IFERROR(Table2[[#This Row],[WASH_acute_PIN]]*$V168,)</f>
        <v>0</v>
      </c>
      <c r="AG168" s="1">
        <f>IFERROR(Table2[[#This Row],[Protection_PIN]]*$V168,)</f>
        <v>0</v>
      </c>
      <c r="AH168" s="1">
        <f>IFERROR(Table2[[#This Row],[Food_PIN]]*$V168,)</f>
        <v>0</v>
      </c>
      <c r="AI168" s="1">
        <f>IFERROR(Table2[[#This Row],[Protection_CP_PIN]]*$V168,)</f>
        <v>0</v>
      </c>
      <c r="AJ168" s="1">
        <f>IFERROR(Table2[[#This Row],[Protection_GBV_PIN]]*$V168,)</f>
        <v>0</v>
      </c>
      <c r="AK168" s="1">
        <f>IFERROR(Table2[[#This Row],[Protection_MA_PIN]]*$V168,)</f>
        <v>0</v>
      </c>
      <c r="AL168" s="1">
        <f>IFERROR(Table2[[#This Row],[Health_PIN]]*$W168,)</f>
        <v>0</v>
      </c>
      <c r="AM168" s="1">
        <f>IFERROR(Table2[[#This Row],[CCCM_PIN]]*$W168,)</f>
        <v>0</v>
      </c>
      <c r="AN168" s="1">
        <f>IFERROR(Table2[[#This Row],[ERL_PIN]]*$W168,)</f>
        <v>0</v>
      </c>
      <c r="AO168" s="1">
        <f>IFERROR(Table2[[#This Row],[NFI_PIN]]*$W168,)</f>
        <v>0</v>
      </c>
      <c r="AP168" s="1">
        <f>IFERROR(Table2[[#This Row],[Nutrition_PIN]]*$W168,)</f>
        <v>0</v>
      </c>
      <c r="AQ168" s="1">
        <f>IFERROR(Table2[[#This Row],[Education_PIN]]*$W168,)</f>
        <v>0</v>
      </c>
      <c r="AR168" s="1">
        <f>IFERROR(Table2[[#This Row],[Shelter_PIN]]*$W168,)</f>
        <v>0</v>
      </c>
      <c r="AS168" s="1">
        <f>IFERROR(Table2[[#This Row],[WASH_PIN]]*$W168,)</f>
        <v>0</v>
      </c>
      <c r="AT168" s="1">
        <f>IFERROR(Table2[[#This Row],[WASH_acute_PIN]]*$W168,)</f>
        <v>0</v>
      </c>
      <c r="AU168" s="1">
        <f>IFERROR(Table2[[#This Row],[Protection_PIN]]*$W168,)</f>
        <v>0</v>
      </c>
      <c r="AV168" s="1">
        <f>IFERROR(Table2[[#This Row],[Food_PIN]]*$W168,)</f>
        <v>0</v>
      </c>
      <c r="AW168" s="1">
        <f>IFERROR(Table2[[#This Row],[Protection_CP_PIN]]*$W168,)</f>
        <v>0</v>
      </c>
      <c r="AX168" s="1">
        <f>IFERROR(Table2[[#This Row],[Protection_GBV_PIN]]*$W168,)</f>
        <v>0</v>
      </c>
      <c r="AY168" s="1">
        <f>IFERROR(Table2[[#This Row],[Protection_MA_PIN]]*$W168,)</f>
        <v>0</v>
      </c>
      <c r="AZ168" s="1">
        <v>3</v>
      </c>
      <c r="BA168" s="1">
        <v>3</v>
      </c>
      <c r="BB168" s="1">
        <v>4</v>
      </c>
      <c r="BC168" s="1">
        <v>3</v>
      </c>
      <c r="BD168" s="1">
        <v>3</v>
      </c>
      <c r="BE168" s="1">
        <v>3</v>
      </c>
      <c r="BF168" s="1">
        <v>4</v>
      </c>
      <c r="BG168" s="1">
        <v>3</v>
      </c>
      <c r="BH168" s="1">
        <v>4</v>
      </c>
      <c r="BI168" s="1">
        <v>4</v>
      </c>
      <c r="BJ168" s="1">
        <v>4</v>
      </c>
      <c r="BK168" s="1" t="s">
        <v>665</v>
      </c>
      <c r="BL168" s="1">
        <v>4</v>
      </c>
    </row>
    <row r="169" spans="1:64" x14ac:dyDescent="0.35">
      <c r="A169" t="s">
        <v>168</v>
      </c>
      <c r="B169" t="s">
        <v>681</v>
      </c>
      <c r="C169" t="s">
        <v>169</v>
      </c>
      <c r="D169" t="s">
        <v>518</v>
      </c>
      <c r="E169" t="s">
        <v>855</v>
      </c>
      <c r="F169" t="s">
        <v>519</v>
      </c>
      <c r="G169" t="s">
        <v>518</v>
      </c>
      <c r="H169" s="1">
        <v>0</v>
      </c>
      <c r="I169" s="1" t="s">
        <v>665</v>
      </c>
      <c r="J169" s="1">
        <v>14910</v>
      </c>
      <c r="K169" s="1">
        <v>368</v>
      </c>
      <c r="L169" s="1">
        <v>6093.7311035970924</v>
      </c>
      <c r="M169" s="1">
        <v>4975.0044983184644</v>
      </c>
      <c r="N169" s="1">
        <v>368</v>
      </c>
      <c r="O169" s="1">
        <v>9044.1116289307374</v>
      </c>
      <c r="P169" s="1">
        <v>2786</v>
      </c>
      <c r="Q169" s="1">
        <v>17184</v>
      </c>
      <c r="R169" s="1">
        <v>4773.3333333333321</v>
      </c>
      <c r="S169" s="1">
        <v>6426.2999999999993</v>
      </c>
      <c r="T169" s="1">
        <v>5998</v>
      </c>
      <c r="U169" s="1" t="s">
        <v>665</v>
      </c>
      <c r="V169" s="3">
        <f>_xlfn.XLOOKUP(Table2[[#This Row],[admin3Pcode]],'Inter-sector dataset'!F:F,'Inter-sector dataset'!Q:Q)</f>
        <v>0</v>
      </c>
      <c r="W169" s="3">
        <f>_xlfn.XLOOKUP(Table2[[#This Row],[admin3Pcode]],'Inter-sector dataset'!F:F,'Inter-sector dataset'!R:R)</f>
        <v>0</v>
      </c>
      <c r="X169" s="1">
        <f>IFERROR(Table2[[#This Row],[Health_PIN]]*$V169,)</f>
        <v>0</v>
      </c>
      <c r="Y169" s="1">
        <f>IFERROR(Table2[[#This Row],[CCCM_PIN]]*$V169,)</f>
        <v>0</v>
      </c>
      <c r="Z169" s="1">
        <f>IFERROR(Table2[[#This Row],[ERL_PIN]]*$V169,)</f>
        <v>0</v>
      </c>
      <c r="AA169" s="1">
        <f>IFERROR(Table2[[#This Row],[NFI_PIN]]*$V169,)</f>
        <v>0</v>
      </c>
      <c r="AB169" s="1">
        <f>IFERROR(Table2[[#This Row],[Nutrition_PIN]]*$V169,)</f>
        <v>0</v>
      </c>
      <c r="AC169" s="1">
        <f>IFERROR(Table2[[#This Row],[Education_PIN]]*$V169,)</f>
        <v>0</v>
      </c>
      <c r="AD169" s="1">
        <f>IFERROR(Table2[[#This Row],[Shelter_PIN]]*$V169,)</f>
        <v>0</v>
      </c>
      <c r="AE169" s="1">
        <f>IFERROR(Table2[[#This Row],[WASH_PIN]]*$V169,)</f>
        <v>0</v>
      </c>
      <c r="AF169" s="1">
        <f>IFERROR(Table2[[#This Row],[WASH_acute_PIN]]*$V169,)</f>
        <v>0</v>
      </c>
      <c r="AG169" s="1">
        <f>IFERROR(Table2[[#This Row],[Protection_PIN]]*$V169,)</f>
        <v>0</v>
      </c>
      <c r="AH169" s="1">
        <f>IFERROR(Table2[[#This Row],[Food_PIN]]*$V169,)</f>
        <v>0</v>
      </c>
      <c r="AI169" s="1">
        <f>IFERROR(Table2[[#This Row],[Protection_CP_PIN]]*$V169,)</f>
        <v>0</v>
      </c>
      <c r="AJ169" s="1">
        <f>IFERROR(Table2[[#This Row],[Protection_GBV_PIN]]*$V169,)</f>
        <v>0</v>
      </c>
      <c r="AK169" s="1">
        <f>IFERROR(Table2[[#This Row],[Protection_MA_PIN]]*$V169,)</f>
        <v>0</v>
      </c>
      <c r="AL169" s="1">
        <f>IFERROR(Table2[[#This Row],[Health_PIN]]*$W169,)</f>
        <v>0</v>
      </c>
      <c r="AM169" s="1">
        <f>IFERROR(Table2[[#This Row],[CCCM_PIN]]*$W169,)</f>
        <v>0</v>
      </c>
      <c r="AN169" s="1">
        <f>IFERROR(Table2[[#This Row],[ERL_PIN]]*$W169,)</f>
        <v>0</v>
      </c>
      <c r="AO169" s="1">
        <f>IFERROR(Table2[[#This Row],[NFI_PIN]]*$W169,)</f>
        <v>0</v>
      </c>
      <c r="AP169" s="1">
        <f>IFERROR(Table2[[#This Row],[Nutrition_PIN]]*$W169,)</f>
        <v>0</v>
      </c>
      <c r="AQ169" s="1">
        <f>IFERROR(Table2[[#This Row],[Education_PIN]]*$W169,)</f>
        <v>0</v>
      </c>
      <c r="AR169" s="1">
        <f>IFERROR(Table2[[#This Row],[Shelter_PIN]]*$W169,)</f>
        <v>0</v>
      </c>
      <c r="AS169" s="1">
        <f>IFERROR(Table2[[#This Row],[WASH_PIN]]*$W169,)</f>
        <v>0</v>
      </c>
      <c r="AT169" s="1">
        <f>IFERROR(Table2[[#This Row],[WASH_acute_PIN]]*$W169,)</f>
        <v>0</v>
      </c>
      <c r="AU169" s="1">
        <f>IFERROR(Table2[[#This Row],[Protection_PIN]]*$W169,)</f>
        <v>0</v>
      </c>
      <c r="AV169" s="1">
        <f>IFERROR(Table2[[#This Row],[Food_PIN]]*$W169,)</f>
        <v>0</v>
      </c>
      <c r="AW169" s="1">
        <f>IFERROR(Table2[[#This Row],[Protection_CP_PIN]]*$W169,)</f>
        <v>0</v>
      </c>
      <c r="AX169" s="1">
        <f>IFERROR(Table2[[#This Row],[Protection_GBV_PIN]]*$W169,)</f>
        <v>0</v>
      </c>
      <c r="AY169" s="1">
        <f>IFERROR(Table2[[#This Row],[Protection_MA_PIN]]*$W169,)</f>
        <v>0</v>
      </c>
      <c r="AZ169" s="1">
        <v>2</v>
      </c>
      <c r="BA169" s="1">
        <v>3</v>
      </c>
      <c r="BB169" s="1">
        <v>4</v>
      </c>
      <c r="BC169" s="1">
        <v>2</v>
      </c>
      <c r="BD169" s="1">
        <v>3</v>
      </c>
      <c r="BE169" s="1">
        <v>2</v>
      </c>
      <c r="BF169" s="1">
        <v>4</v>
      </c>
      <c r="BG169" s="1">
        <v>4</v>
      </c>
      <c r="BH169" s="1">
        <v>3</v>
      </c>
      <c r="BI169" s="1">
        <v>4</v>
      </c>
      <c r="BJ169" s="1">
        <v>3</v>
      </c>
      <c r="BK169" s="1" t="s">
        <v>665</v>
      </c>
      <c r="BL169" s="1">
        <v>4</v>
      </c>
    </row>
    <row r="170" spans="1:64" x14ac:dyDescent="0.35">
      <c r="A170" t="s">
        <v>104</v>
      </c>
      <c r="B170" t="s">
        <v>677</v>
      </c>
      <c r="C170" t="s">
        <v>105</v>
      </c>
      <c r="D170" t="s">
        <v>484</v>
      </c>
      <c r="E170" t="s">
        <v>856</v>
      </c>
      <c r="F170" t="s">
        <v>485</v>
      </c>
      <c r="G170" t="s">
        <v>484</v>
      </c>
      <c r="H170" s="1">
        <v>10988</v>
      </c>
      <c r="I170" s="1" t="s">
        <v>665</v>
      </c>
      <c r="J170" s="1">
        <v>21976</v>
      </c>
      <c r="K170" s="1">
        <v>4395</v>
      </c>
      <c r="L170" s="1">
        <v>5360.8744997030171</v>
      </c>
      <c r="M170" s="1">
        <v>5675.2948269580465</v>
      </c>
      <c r="N170" s="1">
        <v>5089</v>
      </c>
      <c r="O170" s="1">
        <v>2569.7520833333369</v>
      </c>
      <c r="P170" s="1">
        <v>0</v>
      </c>
      <c r="Q170" s="1">
        <v>17581</v>
      </c>
      <c r="R170" s="1">
        <v>14650.666666666666</v>
      </c>
      <c r="S170" s="1">
        <v>6947.6</v>
      </c>
      <c r="T170" s="1">
        <v>12772</v>
      </c>
      <c r="U170" s="1">
        <v>21976</v>
      </c>
      <c r="V170" s="3">
        <f>_xlfn.XLOOKUP(Table2[[#This Row],[admin3Pcode]],'Inter-sector dataset'!F:F,'Inter-sector dataset'!Q:Q)</f>
        <v>0</v>
      </c>
      <c r="W170" s="3">
        <f>_xlfn.XLOOKUP(Table2[[#This Row],[admin3Pcode]],'Inter-sector dataset'!F:F,'Inter-sector dataset'!R:R)</f>
        <v>0</v>
      </c>
      <c r="X170" s="1">
        <f>IFERROR(Table2[[#This Row],[Health_PIN]]*$V170,)</f>
        <v>0</v>
      </c>
      <c r="Y170" s="1">
        <f>IFERROR(Table2[[#This Row],[CCCM_PIN]]*$V170,)</f>
        <v>0</v>
      </c>
      <c r="Z170" s="1">
        <f>IFERROR(Table2[[#This Row],[ERL_PIN]]*$V170,)</f>
        <v>0</v>
      </c>
      <c r="AA170" s="1">
        <f>IFERROR(Table2[[#This Row],[NFI_PIN]]*$V170,)</f>
        <v>0</v>
      </c>
      <c r="AB170" s="1">
        <f>IFERROR(Table2[[#This Row],[Nutrition_PIN]]*$V170,)</f>
        <v>0</v>
      </c>
      <c r="AC170" s="1">
        <f>IFERROR(Table2[[#This Row],[Education_PIN]]*$V170,)</f>
        <v>0</v>
      </c>
      <c r="AD170" s="1">
        <f>IFERROR(Table2[[#This Row],[Shelter_PIN]]*$V170,)</f>
        <v>0</v>
      </c>
      <c r="AE170" s="1">
        <f>IFERROR(Table2[[#This Row],[WASH_PIN]]*$V170,)</f>
        <v>0</v>
      </c>
      <c r="AF170" s="1">
        <f>IFERROR(Table2[[#This Row],[WASH_acute_PIN]]*$V170,)</f>
        <v>0</v>
      </c>
      <c r="AG170" s="1">
        <f>IFERROR(Table2[[#This Row],[Protection_PIN]]*$V170,)</f>
        <v>0</v>
      </c>
      <c r="AH170" s="1">
        <f>IFERROR(Table2[[#This Row],[Food_PIN]]*$V170,)</f>
        <v>0</v>
      </c>
      <c r="AI170" s="1">
        <f>IFERROR(Table2[[#This Row],[Protection_CP_PIN]]*$V170,)</f>
        <v>0</v>
      </c>
      <c r="AJ170" s="1">
        <f>IFERROR(Table2[[#This Row],[Protection_GBV_PIN]]*$V170,)</f>
        <v>0</v>
      </c>
      <c r="AK170" s="1">
        <f>IFERROR(Table2[[#This Row],[Protection_MA_PIN]]*$V170,)</f>
        <v>0</v>
      </c>
      <c r="AL170" s="1">
        <f>IFERROR(Table2[[#This Row],[Health_PIN]]*$W170,)</f>
        <v>0</v>
      </c>
      <c r="AM170" s="1">
        <f>IFERROR(Table2[[#This Row],[CCCM_PIN]]*$W170,)</f>
        <v>0</v>
      </c>
      <c r="AN170" s="1">
        <f>IFERROR(Table2[[#This Row],[ERL_PIN]]*$W170,)</f>
        <v>0</v>
      </c>
      <c r="AO170" s="1">
        <f>IFERROR(Table2[[#This Row],[NFI_PIN]]*$W170,)</f>
        <v>0</v>
      </c>
      <c r="AP170" s="1">
        <f>IFERROR(Table2[[#This Row],[Nutrition_PIN]]*$W170,)</f>
        <v>0</v>
      </c>
      <c r="AQ170" s="1">
        <f>IFERROR(Table2[[#This Row],[Education_PIN]]*$W170,)</f>
        <v>0</v>
      </c>
      <c r="AR170" s="1">
        <f>IFERROR(Table2[[#This Row],[Shelter_PIN]]*$W170,)</f>
        <v>0</v>
      </c>
      <c r="AS170" s="1">
        <f>IFERROR(Table2[[#This Row],[WASH_PIN]]*$W170,)</f>
        <v>0</v>
      </c>
      <c r="AT170" s="1">
        <f>IFERROR(Table2[[#This Row],[WASH_acute_PIN]]*$W170,)</f>
        <v>0</v>
      </c>
      <c r="AU170" s="1">
        <f>IFERROR(Table2[[#This Row],[Protection_PIN]]*$W170,)</f>
        <v>0</v>
      </c>
      <c r="AV170" s="1">
        <f>IFERROR(Table2[[#This Row],[Food_PIN]]*$W170,)</f>
        <v>0</v>
      </c>
      <c r="AW170" s="1">
        <f>IFERROR(Table2[[#This Row],[Protection_CP_PIN]]*$W170,)</f>
        <v>0</v>
      </c>
      <c r="AX170" s="1">
        <f>IFERROR(Table2[[#This Row],[Protection_GBV_PIN]]*$W170,)</f>
        <v>0</v>
      </c>
      <c r="AY170" s="1">
        <f>IFERROR(Table2[[#This Row],[Protection_MA_PIN]]*$W170,)</f>
        <v>0</v>
      </c>
      <c r="AZ170" s="1">
        <v>3</v>
      </c>
      <c r="BA170" s="1">
        <v>3</v>
      </c>
      <c r="BB170" s="1">
        <v>5</v>
      </c>
      <c r="BC170" s="1">
        <v>2</v>
      </c>
      <c r="BD170" s="1">
        <v>4</v>
      </c>
      <c r="BE170" s="1">
        <v>3</v>
      </c>
      <c r="BF170" s="1">
        <v>4</v>
      </c>
      <c r="BG170" s="1">
        <v>5</v>
      </c>
      <c r="BH170" s="1">
        <v>5</v>
      </c>
      <c r="BI170" s="1">
        <v>4</v>
      </c>
      <c r="BJ170" s="1">
        <v>4</v>
      </c>
      <c r="BK170" s="1" t="s">
        <v>665</v>
      </c>
      <c r="BL170" s="1">
        <v>2</v>
      </c>
    </row>
    <row r="171" spans="1:64" x14ac:dyDescent="0.35">
      <c r="A171" t="s">
        <v>168</v>
      </c>
      <c r="B171" t="s">
        <v>681</v>
      </c>
      <c r="C171" t="s">
        <v>169</v>
      </c>
      <c r="D171" t="s">
        <v>516</v>
      </c>
      <c r="E171" t="s">
        <v>857</v>
      </c>
      <c r="F171" t="s">
        <v>517</v>
      </c>
      <c r="G171" t="s">
        <v>516</v>
      </c>
      <c r="H171" s="1">
        <v>11173</v>
      </c>
      <c r="I171" s="1" t="s">
        <v>665</v>
      </c>
      <c r="J171" s="1">
        <v>21912</v>
      </c>
      <c r="K171" s="1">
        <v>195</v>
      </c>
      <c r="L171" s="1">
        <v>3632.620587536484</v>
      </c>
      <c r="M171" s="1">
        <v>6641.2333333333336</v>
      </c>
      <c r="N171" s="1">
        <v>30</v>
      </c>
      <c r="O171" s="1">
        <v>11325.985317494571</v>
      </c>
      <c r="P171" s="1">
        <v>2147</v>
      </c>
      <c r="Q171" s="1">
        <v>17877</v>
      </c>
      <c r="R171" s="1">
        <v>15931.87037037037</v>
      </c>
      <c r="S171" s="1">
        <v>3004</v>
      </c>
      <c r="T171" s="1">
        <v>6403</v>
      </c>
      <c r="U171" s="1">
        <v>13847</v>
      </c>
      <c r="V171" s="3">
        <f>_xlfn.XLOOKUP(Table2[[#This Row],[admin3Pcode]],'Inter-sector dataset'!F:F,'Inter-sector dataset'!Q:Q)</f>
        <v>0</v>
      </c>
      <c r="W171" s="3">
        <f>_xlfn.XLOOKUP(Table2[[#This Row],[admin3Pcode]],'Inter-sector dataset'!F:F,'Inter-sector dataset'!R:R)</f>
        <v>0</v>
      </c>
      <c r="X171" s="1">
        <f>IFERROR(Table2[[#This Row],[Health_PIN]]*$V171,)</f>
        <v>0</v>
      </c>
      <c r="Y171" s="1">
        <f>IFERROR(Table2[[#This Row],[CCCM_PIN]]*$V171,)</f>
        <v>0</v>
      </c>
      <c r="Z171" s="1">
        <f>IFERROR(Table2[[#This Row],[ERL_PIN]]*$V171,)</f>
        <v>0</v>
      </c>
      <c r="AA171" s="1">
        <f>IFERROR(Table2[[#This Row],[NFI_PIN]]*$V171,)</f>
        <v>0</v>
      </c>
      <c r="AB171" s="1">
        <f>IFERROR(Table2[[#This Row],[Nutrition_PIN]]*$V171,)</f>
        <v>0</v>
      </c>
      <c r="AC171" s="1">
        <f>IFERROR(Table2[[#This Row],[Education_PIN]]*$V171,)</f>
        <v>0</v>
      </c>
      <c r="AD171" s="1">
        <f>IFERROR(Table2[[#This Row],[Shelter_PIN]]*$V171,)</f>
        <v>0</v>
      </c>
      <c r="AE171" s="1">
        <f>IFERROR(Table2[[#This Row],[WASH_PIN]]*$V171,)</f>
        <v>0</v>
      </c>
      <c r="AF171" s="1">
        <f>IFERROR(Table2[[#This Row],[WASH_acute_PIN]]*$V171,)</f>
        <v>0</v>
      </c>
      <c r="AG171" s="1">
        <f>IFERROR(Table2[[#This Row],[Protection_PIN]]*$V171,)</f>
        <v>0</v>
      </c>
      <c r="AH171" s="1">
        <f>IFERROR(Table2[[#This Row],[Food_PIN]]*$V171,)</f>
        <v>0</v>
      </c>
      <c r="AI171" s="1">
        <f>IFERROR(Table2[[#This Row],[Protection_CP_PIN]]*$V171,)</f>
        <v>0</v>
      </c>
      <c r="AJ171" s="1">
        <f>IFERROR(Table2[[#This Row],[Protection_GBV_PIN]]*$V171,)</f>
        <v>0</v>
      </c>
      <c r="AK171" s="1">
        <f>IFERROR(Table2[[#This Row],[Protection_MA_PIN]]*$V171,)</f>
        <v>0</v>
      </c>
      <c r="AL171" s="1">
        <f>IFERROR(Table2[[#This Row],[Health_PIN]]*$W171,)</f>
        <v>0</v>
      </c>
      <c r="AM171" s="1">
        <f>IFERROR(Table2[[#This Row],[CCCM_PIN]]*$W171,)</f>
        <v>0</v>
      </c>
      <c r="AN171" s="1">
        <f>IFERROR(Table2[[#This Row],[ERL_PIN]]*$W171,)</f>
        <v>0</v>
      </c>
      <c r="AO171" s="1">
        <f>IFERROR(Table2[[#This Row],[NFI_PIN]]*$W171,)</f>
        <v>0</v>
      </c>
      <c r="AP171" s="1">
        <f>IFERROR(Table2[[#This Row],[Nutrition_PIN]]*$W171,)</f>
        <v>0</v>
      </c>
      <c r="AQ171" s="1">
        <f>IFERROR(Table2[[#This Row],[Education_PIN]]*$W171,)</f>
        <v>0</v>
      </c>
      <c r="AR171" s="1">
        <f>IFERROR(Table2[[#This Row],[Shelter_PIN]]*$W171,)</f>
        <v>0</v>
      </c>
      <c r="AS171" s="1">
        <f>IFERROR(Table2[[#This Row],[WASH_PIN]]*$W171,)</f>
        <v>0</v>
      </c>
      <c r="AT171" s="1">
        <f>IFERROR(Table2[[#This Row],[WASH_acute_PIN]]*$W171,)</f>
        <v>0</v>
      </c>
      <c r="AU171" s="1">
        <f>IFERROR(Table2[[#This Row],[Protection_PIN]]*$W171,)</f>
        <v>0</v>
      </c>
      <c r="AV171" s="1">
        <f>IFERROR(Table2[[#This Row],[Food_PIN]]*$W171,)</f>
        <v>0</v>
      </c>
      <c r="AW171" s="1">
        <f>IFERROR(Table2[[#This Row],[Protection_CP_PIN]]*$W171,)</f>
        <v>0</v>
      </c>
      <c r="AX171" s="1">
        <f>IFERROR(Table2[[#This Row],[Protection_GBV_PIN]]*$W171,)</f>
        <v>0</v>
      </c>
      <c r="AY171" s="1">
        <f>IFERROR(Table2[[#This Row],[Protection_MA_PIN]]*$W171,)</f>
        <v>0</v>
      </c>
      <c r="AZ171" s="1">
        <v>2</v>
      </c>
      <c r="BA171" s="1">
        <v>4</v>
      </c>
      <c r="BB171" s="1">
        <v>5</v>
      </c>
      <c r="BC171" s="1">
        <v>2</v>
      </c>
      <c r="BD171" s="1">
        <v>3</v>
      </c>
      <c r="BE171" s="1">
        <v>3</v>
      </c>
      <c r="BF171" s="1">
        <v>4</v>
      </c>
      <c r="BG171" s="1">
        <v>3</v>
      </c>
      <c r="BH171" s="1">
        <v>3</v>
      </c>
      <c r="BI171" s="1">
        <v>4</v>
      </c>
      <c r="BJ171" s="1">
        <v>4</v>
      </c>
      <c r="BK171" s="1" t="s">
        <v>665</v>
      </c>
      <c r="BL171" s="1">
        <v>4</v>
      </c>
    </row>
    <row r="172" spans="1:64" x14ac:dyDescent="0.35">
      <c r="A172" t="s">
        <v>168</v>
      </c>
      <c r="B172" t="s">
        <v>681</v>
      </c>
      <c r="C172" t="s">
        <v>169</v>
      </c>
      <c r="D172" t="s">
        <v>271</v>
      </c>
      <c r="E172" t="s">
        <v>858</v>
      </c>
      <c r="F172" t="s">
        <v>272</v>
      </c>
      <c r="G172" t="s">
        <v>271</v>
      </c>
      <c r="H172" s="1">
        <v>13466.5</v>
      </c>
      <c r="I172" s="1" t="s">
        <v>665</v>
      </c>
      <c r="J172" s="1">
        <v>21586</v>
      </c>
      <c r="K172" s="1">
        <v>2856</v>
      </c>
      <c r="L172" s="1">
        <v>6828.0157654931427</v>
      </c>
      <c r="M172" s="1">
        <v>3938.1540146780949</v>
      </c>
      <c r="N172" s="1">
        <v>2582</v>
      </c>
      <c r="O172" s="1">
        <v>0</v>
      </c>
      <c r="P172" s="1">
        <v>0</v>
      </c>
      <c r="Q172" s="1">
        <v>21546</v>
      </c>
      <c r="R172" s="1">
        <v>8728.2870370370365</v>
      </c>
      <c r="S172" s="1">
        <v>8163.2999999999993</v>
      </c>
      <c r="T172" s="1">
        <v>7327</v>
      </c>
      <c r="U172" s="1">
        <v>4088</v>
      </c>
      <c r="V172" s="3">
        <f>_xlfn.XLOOKUP(Table2[[#This Row],[admin3Pcode]],'Inter-sector dataset'!F:F,'Inter-sector dataset'!Q:Q)</f>
        <v>0</v>
      </c>
      <c r="W172" s="3">
        <f>_xlfn.XLOOKUP(Table2[[#This Row],[admin3Pcode]],'Inter-sector dataset'!F:F,'Inter-sector dataset'!R:R)</f>
        <v>0</v>
      </c>
      <c r="X172" s="1">
        <f>IFERROR(Table2[[#This Row],[Health_PIN]]*$V172,)</f>
        <v>0</v>
      </c>
      <c r="Y172" s="1">
        <f>IFERROR(Table2[[#This Row],[CCCM_PIN]]*$V172,)</f>
        <v>0</v>
      </c>
      <c r="Z172" s="1">
        <f>IFERROR(Table2[[#This Row],[ERL_PIN]]*$V172,)</f>
        <v>0</v>
      </c>
      <c r="AA172" s="1">
        <f>IFERROR(Table2[[#This Row],[NFI_PIN]]*$V172,)</f>
        <v>0</v>
      </c>
      <c r="AB172" s="1">
        <f>IFERROR(Table2[[#This Row],[Nutrition_PIN]]*$V172,)</f>
        <v>0</v>
      </c>
      <c r="AC172" s="1">
        <f>IFERROR(Table2[[#This Row],[Education_PIN]]*$V172,)</f>
        <v>0</v>
      </c>
      <c r="AD172" s="1">
        <f>IFERROR(Table2[[#This Row],[Shelter_PIN]]*$V172,)</f>
        <v>0</v>
      </c>
      <c r="AE172" s="1">
        <f>IFERROR(Table2[[#This Row],[WASH_PIN]]*$V172,)</f>
        <v>0</v>
      </c>
      <c r="AF172" s="1">
        <f>IFERROR(Table2[[#This Row],[WASH_acute_PIN]]*$V172,)</f>
        <v>0</v>
      </c>
      <c r="AG172" s="1">
        <f>IFERROR(Table2[[#This Row],[Protection_PIN]]*$V172,)</f>
        <v>0</v>
      </c>
      <c r="AH172" s="1">
        <f>IFERROR(Table2[[#This Row],[Food_PIN]]*$V172,)</f>
        <v>0</v>
      </c>
      <c r="AI172" s="1">
        <f>IFERROR(Table2[[#This Row],[Protection_CP_PIN]]*$V172,)</f>
        <v>0</v>
      </c>
      <c r="AJ172" s="1">
        <f>IFERROR(Table2[[#This Row],[Protection_GBV_PIN]]*$V172,)</f>
        <v>0</v>
      </c>
      <c r="AK172" s="1">
        <f>IFERROR(Table2[[#This Row],[Protection_MA_PIN]]*$V172,)</f>
        <v>0</v>
      </c>
      <c r="AL172" s="1">
        <f>IFERROR(Table2[[#This Row],[Health_PIN]]*$W172,)</f>
        <v>0</v>
      </c>
      <c r="AM172" s="1">
        <f>IFERROR(Table2[[#This Row],[CCCM_PIN]]*$W172,)</f>
        <v>0</v>
      </c>
      <c r="AN172" s="1">
        <f>IFERROR(Table2[[#This Row],[ERL_PIN]]*$W172,)</f>
        <v>0</v>
      </c>
      <c r="AO172" s="1">
        <f>IFERROR(Table2[[#This Row],[NFI_PIN]]*$W172,)</f>
        <v>0</v>
      </c>
      <c r="AP172" s="1">
        <f>IFERROR(Table2[[#This Row],[Nutrition_PIN]]*$W172,)</f>
        <v>0</v>
      </c>
      <c r="AQ172" s="1">
        <f>IFERROR(Table2[[#This Row],[Education_PIN]]*$W172,)</f>
        <v>0</v>
      </c>
      <c r="AR172" s="1">
        <f>IFERROR(Table2[[#This Row],[Shelter_PIN]]*$W172,)</f>
        <v>0</v>
      </c>
      <c r="AS172" s="1">
        <f>IFERROR(Table2[[#This Row],[WASH_PIN]]*$W172,)</f>
        <v>0</v>
      </c>
      <c r="AT172" s="1">
        <f>IFERROR(Table2[[#This Row],[WASH_acute_PIN]]*$W172,)</f>
        <v>0</v>
      </c>
      <c r="AU172" s="1">
        <f>IFERROR(Table2[[#This Row],[Protection_PIN]]*$W172,)</f>
        <v>0</v>
      </c>
      <c r="AV172" s="1">
        <f>IFERROR(Table2[[#This Row],[Food_PIN]]*$W172,)</f>
        <v>0</v>
      </c>
      <c r="AW172" s="1">
        <f>IFERROR(Table2[[#This Row],[Protection_CP_PIN]]*$W172,)</f>
        <v>0</v>
      </c>
      <c r="AX172" s="1">
        <f>IFERROR(Table2[[#This Row],[Protection_GBV_PIN]]*$W172,)</f>
        <v>0</v>
      </c>
      <c r="AY172" s="1">
        <f>IFERROR(Table2[[#This Row],[Protection_MA_PIN]]*$W172,)</f>
        <v>0</v>
      </c>
      <c r="AZ172" s="1">
        <v>2</v>
      </c>
      <c r="BA172" s="1">
        <v>3</v>
      </c>
      <c r="BB172" s="1">
        <v>4</v>
      </c>
      <c r="BC172" s="1">
        <v>2</v>
      </c>
      <c r="BD172" s="1">
        <v>3</v>
      </c>
      <c r="BE172" s="1">
        <v>3</v>
      </c>
      <c r="BF172" s="1">
        <v>4</v>
      </c>
      <c r="BG172" s="1">
        <v>4</v>
      </c>
      <c r="BH172" s="1">
        <v>3</v>
      </c>
      <c r="BI172" s="1">
        <v>4</v>
      </c>
      <c r="BJ172" s="1">
        <v>3</v>
      </c>
      <c r="BK172" s="1" t="s">
        <v>665</v>
      </c>
      <c r="BL172" s="1">
        <v>2</v>
      </c>
    </row>
    <row r="173" spans="1:64" x14ac:dyDescent="0.35">
      <c r="A173" t="s">
        <v>184</v>
      </c>
      <c r="B173" t="s">
        <v>730</v>
      </c>
      <c r="C173" t="s">
        <v>185</v>
      </c>
      <c r="D173" t="s">
        <v>346</v>
      </c>
      <c r="E173" t="s">
        <v>859</v>
      </c>
      <c r="F173" t="s">
        <v>347</v>
      </c>
      <c r="G173" t="s">
        <v>346</v>
      </c>
      <c r="H173" s="1">
        <v>20547.75</v>
      </c>
      <c r="I173" s="1" t="s">
        <v>665</v>
      </c>
      <c r="J173" s="1">
        <v>24754</v>
      </c>
      <c r="K173" s="1">
        <v>1972</v>
      </c>
      <c r="L173" s="1">
        <v>7291.3135972347973</v>
      </c>
      <c r="M173" s="1">
        <v>12238.283333333333</v>
      </c>
      <c r="N173" s="1">
        <v>6466</v>
      </c>
      <c r="O173" s="1">
        <v>27397</v>
      </c>
      <c r="P173" s="1">
        <v>15333</v>
      </c>
      <c r="Q173" s="1">
        <v>21918</v>
      </c>
      <c r="R173" s="1">
        <v>22155.834782608697</v>
      </c>
      <c r="S173" s="1">
        <v>8883.2999999999993</v>
      </c>
      <c r="T173" s="1">
        <v>11214</v>
      </c>
      <c r="U173" s="1">
        <v>3075</v>
      </c>
      <c r="V173" s="3">
        <f>_xlfn.XLOOKUP(Table2[[#This Row],[admin3Pcode]],'Inter-sector dataset'!F:F,'Inter-sector dataset'!Q:Q)</f>
        <v>0</v>
      </c>
      <c r="W173" s="3">
        <f>_xlfn.XLOOKUP(Table2[[#This Row],[admin3Pcode]],'Inter-sector dataset'!F:F,'Inter-sector dataset'!R:R)</f>
        <v>0</v>
      </c>
      <c r="X173" s="1">
        <f>IFERROR(Table2[[#This Row],[Health_PIN]]*$V173,)</f>
        <v>0</v>
      </c>
      <c r="Y173" s="1">
        <f>IFERROR(Table2[[#This Row],[CCCM_PIN]]*$V173,)</f>
        <v>0</v>
      </c>
      <c r="Z173" s="1">
        <f>IFERROR(Table2[[#This Row],[ERL_PIN]]*$V173,)</f>
        <v>0</v>
      </c>
      <c r="AA173" s="1">
        <f>IFERROR(Table2[[#This Row],[NFI_PIN]]*$V173,)</f>
        <v>0</v>
      </c>
      <c r="AB173" s="1">
        <f>IFERROR(Table2[[#This Row],[Nutrition_PIN]]*$V173,)</f>
        <v>0</v>
      </c>
      <c r="AC173" s="1">
        <f>IFERROR(Table2[[#This Row],[Education_PIN]]*$V173,)</f>
        <v>0</v>
      </c>
      <c r="AD173" s="1">
        <f>IFERROR(Table2[[#This Row],[Shelter_PIN]]*$V173,)</f>
        <v>0</v>
      </c>
      <c r="AE173" s="1">
        <f>IFERROR(Table2[[#This Row],[WASH_PIN]]*$V173,)</f>
        <v>0</v>
      </c>
      <c r="AF173" s="1">
        <f>IFERROR(Table2[[#This Row],[WASH_acute_PIN]]*$V173,)</f>
        <v>0</v>
      </c>
      <c r="AG173" s="1">
        <f>IFERROR(Table2[[#This Row],[Protection_PIN]]*$V173,)</f>
        <v>0</v>
      </c>
      <c r="AH173" s="1">
        <f>IFERROR(Table2[[#This Row],[Food_PIN]]*$V173,)</f>
        <v>0</v>
      </c>
      <c r="AI173" s="1">
        <f>IFERROR(Table2[[#This Row],[Protection_CP_PIN]]*$V173,)</f>
        <v>0</v>
      </c>
      <c r="AJ173" s="1">
        <f>IFERROR(Table2[[#This Row],[Protection_GBV_PIN]]*$V173,)</f>
        <v>0</v>
      </c>
      <c r="AK173" s="1">
        <f>IFERROR(Table2[[#This Row],[Protection_MA_PIN]]*$V173,)</f>
        <v>0</v>
      </c>
      <c r="AL173" s="1">
        <f>IFERROR(Table2[[#This Row],[Health_PIN]]*$W173,)</f>
        <v>0</v>
      </c>
      <c r="AM173" s="1">
        <f>IFERROR(Table2[[#This Row],[CCCM_PIN]]*$W173,)</f>
        <v>0</v>
      </c>
      <c r="AN173" s="1">
        <f>IFERROR(Table2[[#This Row],[ERL_PIN]]*$W173,)</f>
        <v>0</v>
      </c>
      <c r="AO173" s="1">
        <f>IFERROR(Table2[[#This Row],[NFI_PIN]]*$W173,)</f>
        <v>0</v>
      </c>
      <c r="AP173" s="1">
        <f>IFERROR(Table2[[#This Row],[Nutrition_PIN]]*$W173,)</f>
        <v>0</v>
      </c>
      <c r="AQ173" s="1">
        <f>IFERROR(Table2[[#This Row],[Education_PIN]]*$W173,)</f>
        <v>0</v>
      </c>
      <c r="AR173" s="1">
        <f>IFERROR(Table2[[#This Row],[Shelter_PIN]]*$W173,)</f>
        <v>0</v>
      </c>
      <c r="AS173" s="1">
        <f>IFERROR(Table2[[#This Row],[WASH_PIN]]*$W173,)</f>
        <v>0</v>
      </c>
      <c r="AT173" s="1">
        <f>IFERROR(Table2[[#This Row],[WASH_acute_PIN]]*$W173,)</f>
        <v>0</v>
      </c>
      <c r="AU173" s="1">
        <f>IFERROR(Table2[[#This Row],[Protection_PIN]]*$W173,)</f>
        <v>0</v>
      </c>
      <c r="AV173" s="1">
        <f>IFERROR(Table2[[#This Row],[Food_PIN]]*$W173,)</f>
        <v>0</v>
      </c>
      <c r="AW173" s="1">
        <f>IFERROR(Table2[[#This Row],[Protection_CP_PIN]]*$W173,)</f>
        <v>0</v>
      </c>
      <c r="AX173" s="1">
        <f>IFERROR(Table2[[#This Row],[Protection_GBV_PIN]]*$W173,)</f>
        <v>0</v>
      </c>
      <c r="AY173" s="1">
        <f>IFERROR(Table2[[#This Row],[Protection_MA_PIN]]*$W173,)</f>
        <v>0</v>
      </c>
      <c r="AZ173" s="1">
        <v>3</v>
      </c>
      <c r="BA173" s="1">
        <v>3</v>
      </c>
      <c r="BB173" s="1">
        <v>4</v>
      </c>
      <c r="BC173" s="1">
        <v>2</v>
      </c>
      <c r="BD173" s="1">
        <v>3</v>
      </c>
      <c r="BE173" s="1">
        <v>4</v>
      </c>
      <c r="BF173" s="1">
        <v>4</v>
      </c>
      <c r="BG173" s="1">
        <v>4</v>
      </c>
      <c r="BH173" s="1">
        <v>4</v>
      </c>
      <c r="BI173" s="1">
        <v>4</v>
      </c>
      <c r="BJ173" s="1">
        <v>4</v>
      </c>
      <c r="BK173" s="1" t="s">
        <v>665</v>
      </c>
      <c r="BL173" s="1">
        <v>4</v>
      </c>
    </row>
    <row r="174" spans="1:64" x14ac:dyDescent="0.35">
      <c r="A174" t="s">
        <v>184</v>
      </c>
      <c r="B174" t="s">
        <v>730</v>
      </c>
      <c r="C174" t="s">
        <v>185</v>
      </c>
      <c r="D174" t="s">
        <v>318</v>
      </c>
      <c r="E174" t="s">
        <v>860</v>
      </c>
      <c r="F174" t="s">
        <v>319</v>
      </c>
      <c r="G174" t="s">
        <v>861</v>
      </c>
      <c r="H174" s="1">
        <v>20788.5</v>
      </c>
      <c r="I174" s="1" t="s">
        <v>665</v>
      </c>
      <c r="J174" s="1">
        <v>26805</v>
      </c>
      <c r="K174" s="1">
        <v>687</v>
      </c>
      <c r="L174" s="1">
        <v>6341.5442184344547</v>
      </c>
      <c r="M174" s="1">
        <v>14133.416666666666</v>
      </c>
      <c r="N174" s="1">
        <v>5544</v>
      </c>
      <c r="O174" s="1">
        <v>27718</v>
      </c>
      <c r="P174" s="1">
        <v>18002</v>
      </c>
      <c r="Q174" s="1">
        <v>22174</v>
      </c>
      <c r="R174" s="1">
        <v>27466.018181818185</v>
      </c>
      <c r="S174" s="1">
        <v>9307.5</v>
      </c>
      <c r="T174" s="1">
        <v>11612</v>
      </c>
      <c r="U174" s="1">
        <v>24131</v>
      </c>
      <c r="V174" s="3">
        <f>_xlfn.XLOOKUP(Table2[[#This Row],[admin3Pcode]],'Inter-sector dataset'!F:F,'Inter-sector dataset'!Q:Q)</f>
        <v>0</v>
      </c>
      <c r="W174" s="3">
        <f>_xlfn.XLOOKUP(Table2[[#This Row],[admin3Pcode]],'Inter-sector dataset'!F:F,'Inter-sector dataset'!R:R)</f>
        <v>0</v>
      </c>
      <c r="X174" s="1">
        <f>IFERROR(Table2[[#This Row],[Health_PIN]]*$V174,)</f>
        <v>0</v>
      </c>
      <c r="Y174" s="1">
        <f>IFERROR(Table2[[#This Row],[CCCM_PIN]]*$V174,)</f>
        <v>0</v>
      </c>
      <c r="Z174" s="1">
        <f>IFERROR(Table2[[#This Row],[ERL_PIN]]*$V174,)</f>
        <v>0</v>
      </c>
      <c r="AA174" s="1">
        <f>IFERROR(Table2[[#This Row],[NFI_PIN]]*$V174,)</f>
        <v>0</v>
      </c>
      <c r="AB174" s="1">
        <f>IFERROR(Table2[[#This Row],[Nutrition_PIN]]*$V174,)</f>
        <v>0</v>
      </c>
      <c r="AC174" s="1">
        <f>IFERROR(Table2[[#This Row],[Education_PIN]]*$V174,)</f>
        <v>0</v>
      </c>
      <c r="AD174" s="1">
        <f>IFERROR(Table2[[#This Row],[Shelter_PIN]]*$V174,)</f>
        <v>0</v>
      </c>
      <c r="AE174" s="1">
        <f>IFERROR(Table2[[#This Row],[WASH_PIN]]*$V174,)</f>
        <v>0</v>
      </c>
      <c r="AF174" s="1">
        <f>IFERROR(Table2[[#This Row],[WASH_acute_PIN]]*$V174,)</f>
        <v>0</v>
      </c>
      <c r="AG174" s="1">
        <f>IFERROR(Table2[[#This Row],[Protection_PIN]]*$V174,)</f>
        <v>0</v>
      </c>
      <c r="AH174" s="1">
        <f>IFERROR(Table2[[#This Row],[Food_PIN]]*$V174,)</f>
        <v>0</v>
      </c>
      <c r="AI174" s="1">
        <f>IFERROR(Table2[[#This Row],[Protection_CP_PIN]]*$V174,)</f>
        <v>0</v>
      </c>
      <c r="AJ174" s="1">
        <f>IFERROR(Table2[[#This Row],[Protection_GBV_PIN]]*$V174,)</f>
        <v>0</v>
      </c>
      <c r="AK174" s="1">
        <f>IFERROR(Table2[[#This Row],[Protection_MA_PIN]]*$V174,)</f>
        <v>0</v>
      </c>
      <c r="AL174" s="1">
        <f>IFERROR(Table2[[#This Row],[Health_PIN]]*$W174,)</f>
        <v>0</v>
      </c>
      <c r="AM174" s="1">
        <f>IFERROR(Table2[[#This Row],[CCCM_PIN]]*$W174,)</f>
        <v>0</v>
      </c>
      <c r="AN174" s="1">
        <f>IFERROR(Table2[[#This Row],[ERL_PIN]]*$W174,)</f>
        <v>0</v>
      </c>
      <c r="AO174" s="1">
        <f>IFERROR(Table2[[#This Row],[NFI_PIN]]*$W174,)</f>
        <v>0</v>
      </c>
      <c r="AP174" s="1">
        <f>IFERROR(Table2[[#This Row],[Nutrition_PIN]]*$W174,)</f>
        <v>0</v>
      </c>
      <c r="AQ174" s="1">
        <f>IFERROR(Table2[[#This Row],[Education_PIN]]*$W174,)</f>
        <v>0</v>
      </c>
      <c r="AR174" s="1">
        <f>IFERROR(Table2[[#This Row],[Shelter_PIN]]*$W174,)</f>
        <v>0</v>
      </c>
      <c r="AS174" s="1">
        <f>IFERROR(Table2[[#This Row],[WASH_PIN]]*$W174,)</f>
        <v>0</v>
      </c>
      <c r="AT174" s="1">
        <f>IFERROR(Table2[[#This Row],[WASH_acute_PIN]]*$W174,)</f>
        <v>0</v>
      </c>
      <c r="AU174" s="1">
        <f>IFERROR(Table2[[#This Row],[Protection_PIN]]*$W174,)</f>
        <v>0</v>
      </c>
      <c r="AV174" s="1">
        <f>IFERROR(Table2[[#This Row],[Food_PIN]]*$W174,)</f>
        <v>0</v>
      </c>
      <c r="AW174" s="1">
        <f>IFERROR(Table2[[#This Row],[Protection_CP_PIN]]*$W174,)</f>
        <v>0</v>
      </c>
      <c r="AX174" s="1">
        <f>IFERROR(Table2[[#This Row],[Protection_GBV_PIN]]*$W174,)</f>
        <v>0</v>
      </c>
      <c r="AY174" s="1">
        <f>IFERROR(Table2[[#This Row],[Protection_MA_PIN]]*$W174,)</f>
        <v>0</v>
      </c>
      <c r="AZ174" s="1">
        <v>2</v>
      </c>
      <c r="BA174" s="1">
        <v>3</v>
      </c>
      <c r="BB174" s="1">
        <v>4</v>
      </c>
      <c r="BC174" s="1">
        <v>2</v>
      </c>
      <c r="BD174" s="1">
        <v>3</v>
      </c>
      <c r="BE174" s="1">
        <v>4</v>
      </c>
      <c r="BF174" s="1">
        <v>4</v>
      </c>
      <c r="BG174" s="1">
        <v>4</v>
      </c>
      <c r="BH174" s="1">
        <v>4</v>
      </c>
      <c r="BI174" s="1">
        <v>4</v>
      </c>
      <c r="BJ174" s="1">
        <v>4</v>
      </c>
      <c r="BK174" s="1" t="s">
        <v>665</v>
      </c>
      <c r="BL174" s="1">
        <v>4</v>
      </c>
    </row>
    <row r="175" spans="1:64" x14ac:dyDescent="0.35">
      <c r="A175" t="s">
        <v>184</v>
      </c>
      <c r="B175" t="s">
        <v>730</v>
      </c>
      <c r="C175" t="s">
        <v>185</v>
      </c>
      <c r="D175" t="s">
        <v>380</v>
      </c>
      <c r="E175" t="s">
        <v>862</v>
      </c>
      <c r="F175" t="s">
        <v>381</v>
      </c>
      <c r="G175" t="s">
        <v>380</v>
      </c>
      <c r="H175" s="1">
        <v>21300.75</v>
      </c>
      <c r="I175" s="1" t="s">
        <v>665</v>
      </c>
      <c r="J175" s="1">
        <v>25473</v>
      </c>
      <c r="K175" s="1">
        <v>6840</v>
      </c>
      <c r="L175" s="1">
        <v>8259.188990229326</v>
      </c>
      <c r="M175" s="1">
        <v>1418.2103300296908</v>
      </c>
      <c r="N175" s="1">
        <v>6840</v>
      </c>
      <c r="O175" s="1">
        <v>28401</v>
      </c>
      <c r="P175" s="1">
        <v>20178</v>
      </c>
      <c r="Q175" s="1">
        <v>22721</v>
      </c>
      <c r="R175" s="1">
        <v>15729.784615384619</v>
      </c>
      <c r="S175" s="1">
        <v>7306.7999999999993</v>
      </c>
      <c r="T175" s="1">
        <v>13275</v>
      </c>
      <c r="U175" s="1">
        <v>11613</v>
      </c>
      <c r="V175" s="3">
        <f>_xlfn.XLOOKUP(Table2[[#This Row],[admin3Pcode]],'Inter-sector dataset'!F:F,'Inter-sector dataset'!Q:Q)</f>
        <v>0</v>
      </c>
      <c r="W175" s="3">
        <f>_xlfn.XLOOKUP(Table2[[#This Row],[admin3Pcode]],'Inter-sector dataset'!F:F,'Inter-sector dataset'!R:R)</f>
        <v>0</v>
      </c>
      <c r="X175" s="1">
        <f>IFERROR(Table2[[#This Row],[Health_PIN]]*$V175,)</f>
        <v>0</v>
      </c>
      <c r="Y175" s="1">
        <f>IFERROR(Table2[[#This Row],[CCCM_PIN]]*$V175,)</f>
        <v>0</v>
      </c>
      <c r="Z175" s="1">
        <f>IFERROR(Table2[[#This Row],[ERL_PIN]]*$V175,)</f>
        <v>0</v>
      </c>
      <c r="AA175" s="1">
        <f>IFERROR(Table2[[#This Row],[NFI_PIN]]*$V175,)</f>
        <v>0</v>
      </c>
      <c r="AB175" s="1">
        <f>IFERROR(Table2[[#This Row],[Nutrition_PIN]]*$V175,)</f>
        <v>0</v>
      </c>
      <c r="AC175" s="1">
        <f>IFERROR(Table2[[#This Row],[Education_PIN]]*$V175,)</f>
        <v>0</v>
      </c>
      <c r="AD175" s="1">
        <f>IFERROR(Table2[[#This Row],[Shelter_PIN]]*$V175,)</f>
        <v>0</v>
      </c>
      <c r="AE175" s="1">
        <f>IFERROR(Table2[[#This Row],[WASH_PIN]]*$V175,)</f>
        <v>0</v>
      </c>
      <c r="AF175" s="1">
        <f>IFERROR(Table2[[#This Row],[WASH_acute_PIN]]*$V175,)</f>
        <v>0</v>
      </c>
      <c r="AG175" s="1">
        <f>IFERROR(Table2[[#This Row],[Protection_PIN]]*$V175,)</f>
        <v>0</v>
      </c>
      <c r="AH175" s="1">
        <f>IFERROR(Table2[[#This Row],[Food_PIN]]*$V175,)</f>
        <v>0</v>
      </c>
      <c r="AI175" s="1">
        <f>IFERROR(Table2[[#This Row],[Protection_CP_PIN]]*$V175,)</f>
        <v>0</v>
      </c>
      <c r="AJ175" s="1">
        <f>IFERROR(Table2[[#This Row],[Protection_GBV_PIN]]*$V175,)</f>
        <v>0</v>
      </c>
      <c r="AK175" s="1">
        <f>IFERROR(Table2[[#This Row],[Protection_MA_PIN]]*$V175,)</f>
        <v>0</v>
      </c>
      <c r="AL175" s="1">
        <f>IFERROR(Table2[[#This Row],[Health_PIN]]*$W175,)</f>
        <v>0</v>
      </c>
      <c r="AM175" s="1">
        <f>IFERROR(Table2[[#This Row],[CCCM_PIN]]*$W175,)</f>
        <v>0</v>
      </c>
      <c r="AN175" s="1">
        <f>IFERROR(Table2[[#This Row],[ERL_PIN]]*$W175,)</f>
        <v>0</v>
      </c>
      <c r="AO175" s="1">
        <f>IFERROR(Table2[[#This Row],[NFI_PIN]]*$W175,)</f>
        <v>0</v>
      </c>
      <c r="AP175" s="1">
        <f>IFERROR(Table2[[#This Row],[Nutrition_PIN]]*$W175,)</f>
        <v>0</v>
      </c>
      <c r="AQ175" s="1">
        <f>IFERROR(Table2[[#This Row],[Education_PIN]]*$W175,)</f>
        <v>0</v>
      </c>
      <c r="AR175" s="1">
        <f>IFERROR(Table2[[#This Row],[Shelter_PIN]]*$W175,)</f>
        <v>0</v>
      </c>
      <c r="AS175" s="1">
        <f>IFERROR(Table2[[#This Row],[WASH_PIN]]*$W175,)</f>
        <v>0</v>
      </c>
      <c r="AT175" s="1">
        <f>IFERROR(Table2[[#This Row],[WASH_acute_PIN]]*$W175,)</f>
        <v>0</v>
      </c>
      <c r="AU175" s="1">
        <f>IFERROR(Table2[[#This Row],[Protection_PIN]]*$W175,)</f>
        <v>0</v>
      </c>
      <c r="AV175" s="1">
        <f>IFERROR(Table2[[#This Row],[Food_PIN]]*$W175,)</f>
        <v>0</v>
      </c>
      <c r="AW175" s="1">
        <f>IFERROR(Table2[[#This Row],[Protection_CP_PIN]]*$W175,)</f>
        <v>0</v>
      </c>
      <c r="AX175" s="1">
        <f>IFERROR(Table2[[#This Row],[Protection_GBV_PIN]]*$W175,)</f>
        <v>0</v>
      </c>
      <c r="AY175" s="1">
        <f>IFERROR(Table2[[#This Row],[Protection_MA_PIN]]*$W175,)</f>
        <v>0</v>
      </c>
      <c r="AZ175" s="1">
        <v>3</v>
      </c>
      <c r="BA175" s="1">
        <v>2</v>
      </c>
      <c r="BB175" s="1">
        <v>4</v>
      </c>
      <c r="BC175" s="1">
        <v>3</v>
      </c>
      <c r="BD175" s="1">
        <v>3</v>
      </c>
      <c r="BE175" s="1">
        <v>4</v>
      </c>
      <c r="BF175" s="1">
        <v>4</v>
      </c>
      <c r="BG175" s="1">
        <v>4</v>
      </c>
      <c r="BH175" s="1">
        <v>4</v>
      </c>
      <c r="BI175" s="1">
        <v>4</v>
      </c>
      <c r="BJ175" s="1">
        <v>4</v>
      </c>
      <c r="BK175" s="1" t="s">
        <v>665</v>
      </c>
      <c r="BL175" s="1">
        <v>4</v>
      </c>
    </row>
    <row r="176" spans="1:64" x14ac:dyDescent="0.35">
      <c r="A176" t="s">
        <v>184</v>
      </c>
      <c r="B176" t="s">
        <v>730</v>
      </c>
      <c r="C176" t="s">
        <v>185</v>
      </c>
      <c r="D176" t="s">
        <v>282</v>
      </c>
      <c r="E176" t="s">
        <v>863</v>
      </c>
      <c r="F176" t="s">
        <v>283</v>
      </c>
      <c r="G176" t="s">
        <v>282</v>
      </c>
      <c r="H176" s="1">
        <v>21622.5</v>
      </c>
      <c r="I176" s="1" t="s">
        <v>665</v>
      </c>
      <c r="J176" s="1">
        <v>28309</v>
      </c>
      <c r="K176" s="1">
        <v>8649</v>
      </c>
      <c r="L176" s="1">
        <v>6413.6570642711786</v>
      </c>
      <c r="M176" s="1">
        <v>6077.0503260913038</v>
      </c>
      <c r="N176" s="1">
        <v>5774</v>
      </c>
      <c r="O176" s="1">
        <v>28830</v>
      </c>
      <c r="P176" s="1">
        <v>28169</v>
      </c>
      <c r="Q176" s="1">
        <v>23064</v>
      </c>
      <c r="R176" s="1">
        <v>18152.222222222223</v>
      </c>
      <c r="S176" s="1">
        <v>7145.9999999999991</v>
      </c>
      <c r="T176" s="1">
        <v>16177</v>
      </c>
      <c r="U176" s="1">
        <v>15819</v>
      </c>
      <c r="V176" s="3">
        <f>_xlfn.XLOOKUP(Table2[[#This Row],[admin3Pcode]],'Inter-sector dataset'!F:F,'Inter-sector dataset'!Q:Q)</f>
        <v>0</v>
      </c>
      <c r="W176" s="3">
        <f>_xlfn.XLOOKUP(Table2[[#This Row],[admin3Pcode]],'Inter-sector dataset'!F:F,'Inter-sector dataset'!R:R)</f>
        <v>0</v>
      </c>
      <c r="X176" s="1">
        <f>IFERROR(Table2[[#This Row],[Health_PIN]]*$V176,)</f>
        <v>0</v>
      </c>
      <c r="Y176" s="1">
        <f>IFERROR(Table2[[#This Row],[CCCM_PIN]]*$V176,)</f>
        <v>0</v>
      </c>
      <c r="Z176" s="1">
        <f>IFERROR(Table2[[#This Row],[ERL_PIN]]*$V176,)</f>
        <v>0</v>
      </c>
      <c r="AA176" s="1">
        <f>IFERROR(Table2[[#This Row],[NFI_PIN]]*$V176,)</f>
        <v>0</v>
      </c>
      <c r="AB176" s="1">
        <f>IFERROR(Table2[[#This Row],[Nutrition_PIN]]*$V176,)</f>
        <v>0</v>
      </c>
      <c r="AC176" s="1">
        <f>IFERROR(Table2[[#This Row],[Education_PIN]]*$V176,)</f>
        <v>0</v>
      </c>
      <c r="AD176" s="1">
        <f>IFERROR(Table2[[#This Row],[Shelter_PIN]]*$V176,)</f>
        <v>0</v>
      </c>
      <c r="AE176" s="1">
        <f>IFERROR(Table2[[#This Row],[WASH_PIN]]*$V176,)</f>
        <v>0</v>
      </c>
      <c r="AF176" s="1">
        <f>IFERROR(Table2[[#This Row],[WASH_acute_PIN]]*$V176,)</f>
        <v>0</v>
      </c>
      <c r="AG176" s="1">
        <f>IFERROR(Table2[[#This Row],[Protection_PIN]]*$V176,)</f>
        <v>0</v>
      </c>
      <c r="AH176" s="1">
        <f>IFERROR(Table2[[#This Row],[Food_PIN]]*$V176,)</f>
        <v>0</v>
      </c>
      <c r="AI176" s="1">
        <f>IFERROR(Table2[[#This Row],[Protection_CP_PIN]]*$V176,)</f>
        <v>0</v>
      </c>
      <c r="AJ176" s="1">
        <f>IFERROR(Table2[[#This Row],[Protection_GBV_PIN]]*$V176,)</f>
        <v>0</v>
      </c>
      <c r="AK176" s="1">
        <f>IFERROR(Table2[[#This Row],[Protection_MA_PIN]]*$V176,)</f>
        <v>0</v>
      </c>
      <c r="AL176" s="1">
        <f>IFERROR(Table2[[#This Row],[Health_PIN]]*$W176,)</f>
        <v>0</v>
      </c>
      <c r="AM176" s="1">
        <f>IFERROR(Table2[[#This Row],[CCCM_PIN]]*$W176,)</f>
        <v>0</v>
      </c>
      <c r="AN176" s="1">
        <f>IFERROR(Table2[[#This Row],[ERL_PIN]]*$W176,)</f>
        <v>0</v>
      </c>
      <c r="AO176" s="1">
        <f>IFERROR(Table2[[#This Row],[NFI_PIN]]*$W176,)</f>
        <v>0</v>
      </c>
      <c r="AP176" s="1">
        <f>IFERROR(Table2[[#This Row],[Nutrition_PIN]]*$W176,)</f>
        <v>0</v>
      </c>
      <c r="AQ176" s="1">
        <f>IFERROR(Table2[[#This Row],[Education_PIN]]*$W176,)</f>
        <v>0</v>
      </c>
      <c r="AR176" s="1">
        <f>IFERROR(Table2[[#This Row],[Shelter_PIN]]*$W176,)</f>
        <v>0</v>
      </c>
      <c r="AS176" s="1">
        <f>IFERROR(Table2[[#This Row],[WASH_PIN]]*$W176,)</f>
        <v>0</v>
      </c>
      <c r="AT176" s="1">
        <f>IFERROR(Table2[[#This Row],[WASH_acute_PIN]]*$W176,)</f>
        <v>0</v>
      </c>
      <c r="AU176" s="1">
        <f>IFERROR(Table2[[#This Row],[Protection_PIN]]*$W176,)</f>
        <v>0</v>
      </c>
      <c r="AV176" s="1">
        <f>IFERROR(Table2[[#This Row],[Food_PIN]]*$W176,)</f>
        <v>0</v>
      </c>
      <c r="AW176" s="1">
        <f>IFERROR(Table2[[#This Row],[Protection_CP_PIN]]*$W176,)</f>
        <v>0</v>
      </c>
      <c r="AX176" s="1">
        <f>IFERROR(Table2[[#This Row],[Protection_GBV_PIN]]*$W176,)</f>
        <v>0</v>
      </c>
      <c r="AY176" s="1">
        <f>IFERROR(Table2[[#This Row],[Protection_MA_PIN]]*$W176,)</f>
        <v>0</v>
      </c>
      <c r="AZ176" s="1">
        <v>3</v>
      </c>
      <c r="BA176" s="1">
        <v>3</v>
      </c>
      <c r="BB176" s="1">
        <v>5</v>
      </c>
      <c r="BC176" s="1">
        <v>3</v>
      </c>
      <c r="BD176" s="1">
        <v>3</v>
      </c>
      <c r="BE176" s="1">
        <v>4</v>
      </c>
      <c r="BF176" s="1">
        <v>4</v>
      </c>
      <c r="BG176" s="1">
        <v>4</v>
      </c>
      <c r="BH176" s="1">
        <v>5</v>
      </c>
      <c r="BI176" s="1">
        <v>4</v>
      </c>
      <c r="BJ176" s="1">
        <v>4</v>
      </c>
      <c r="BK176" s="1" t="s">
        <v>665</v>
      </c>
      <c r="BL176" s="1">
        <v>4</v>
      </c>
    </row>
    <row r="177" spans="1:64" x14ac:dyDescent="0.35">
      <c r="A177" t="s">
        <v>104</v>
      </c>
      <c r="B177" t="s">
        <v>677</v>
      </c>
      <c r="C177" t="s">
        <v>105</v>
      </c>
      <c r="D177" t="s">
        <v>496</v>
      </c>
      <c r="E177" t="s">
        <v>864</v>
      </c>
      <c r="F177" t="s">
        <v>497</v>
      </c>
      <c r="G177" t="s">
        <v>496</v>
      </c>
      <c r="H177" s="1">
        <v>15189</v>
      </c>
      <c r="I177" s="1" t="s">
        <v>665</v>
      </c>
      <c r="J177" s="1">
        <v>15112</v>
      </c>
      <c r="K177" s="1">
        <v>6076</v>
      </c>
      <c r="L177" s="1">
        <v>6971.5216488826463</v>
      </c>
      <c r="M177" s="1">
        <v>2989.9761007831207</v>
      </c>
      <c r="N177" s="1">
        <v>6076</v>
      </c>
      <c r="O177" s="1">
        <v>23003.614835417917</v>
      </c>
      <c r="P177" s="1">
        <v>9425</v>
      </c>
      <c r="Q177" s="1">
        <v>24302</v>
      </c>
      <c r="R177" s="1">
        <v>25596.277777777777</v>
      </c>
      <c r="S177" s="1">
        <v>6156.2999999999993</v>
      </c>
      <c r="T177" s="1">
        <v>13749</v>
      </c>
      <c r="U177" s="1">
        <v>30378</v>
      </c>
      <c r="V177" s="3">
        <f>_xlfn.XLOOKUP(Table2[[#This Row],[admin3Pcode]],'Inter-sector dataset'!F:F,'Inter-sector dataset'!Q:Q)</f>
        <v>0</v>
      </c>
      <c r="W177" s="3">
        <f>_xlfn.XLOOKUP(Table2[[#This Row],[admin3Pcode]],'Inter-sector dataset'!F:F,'Inter-sector dataset'!R:R)</f>
        <v>0</v>
      </c>
      <c r="X177" s="1">
        <f>IFERROR(Table2[[#This Row],[Health_PIN]]*$V177,)</f>
        <v>0</v>
      </c>
      <c r="Y177" s="1">
        <f>IFERROR(Table2[[#This Row],[CCCM_PIN]]*$V177,)</f>
        <v>0</v>
      </c>
      <c r="Z177" s="1">
        <f>IFERROR(Table2[[#This Row],[ERL_PIN]]*$V177,)</f>
        <v>0</v>
      </c>
      <c r="AA177" s="1">
        <f>IFERROR(Table2[[#This Row],[NFI_PIN]]*$V177,)</f>
        <v>0</v>
      </c>
      <c r="AB177" s="1">
        <f>IFERROR(Table2[[#This Row],[Nutrition_PIN]]*$V177,)</f>
        <v>0</v>
      </c>
      <c r="AC177" s="1">
        <f>IFERROR(Table2[[#This Row],[Education_PIN]]*$V177,)</f>
        <v>0</v>
      </c>
      <c r="AD177" s="1">
        <f>IFERROR(Table2[[#This Row],[Shelter_PIN]]*$V177,)</f>
        <v>0</v>
      </c>
      <c r="AE177" s="1">
        <f>IFERROR(Table2[[#This Row],[WASH_PIN]]*$V177,)</f>
        <v>0</v>
      </c>
      <c r="AF177" s="1">
        <f>IFERROR(Table2[[#This Row],[WASH_acute_PIN]]*$V177,)</f>
        <v>0</v>
      </c>
      <c r="AG177" s="1">
        <f>IFERROR(Table2[[#This Row],[Protection_PIN]]*$V177,)</f>
        <v>0</v>
      </c>
      <c r="AH177" s="1">
        <f>IFERROR(Table2[[#This Row],[Food_PIN]]*$V177,)</f>
        <v>0</v>
      </c>
      <c r="AI177" s="1">
        <f>IFERROR(Table2[[#This Row],[Protection_CP_PIN]]*$V177,)</f>
        <v>0</v>
      </c>
      <c r="AJ177" s="1">
        <f>IFERROR(Table2[[#This Row],[Protection_GBV_PIN]]*$V177,)</f>
        <v>0</v>
      </c>
      <c r="AK177" s="1">
        <f>IFERROR(Table2[[#This Row],[Protection_MA_PIN]]*$V177,)</f>
        <v>0</v>
      </c>
      <c r="AL177" s="1">
        <f>IFERROR(Table2[[#This Row],[Health_PIN]]*$W177,)</f>
        <v>0</v>
      </c>
      <c r="AM177" s="1">
        <f>IFERROR(Table2[[#This Row],[CCCM_PIN]]*$W177,)</f>
        <v>0</v>
      </c>
      <c r="AN177" s="1">
        <f>IFERROR(Table2[[#This Row],[ERL_PIN]]*$W177,)</f>
        <v>0</v>
      </c>
      <c r="AO177" s="1">
        <f>IFERROR(Table2[[#This Row],[NFI_PIN]]*$W177,)</f>
        <v>0</v>
      </c>
      <c r="AP177" s="1">
        <f>IFERROR(Table2[[#This Row],[Nutrition_PIN]]*$W177,)</f>
        <v>0</v>
      </c>
      <c r="AQ177" s="1">
        <f>IFERROR(Table2[[#This Row],[Education_PIN]]*$W177,)</f>
        <v>0</v>
      </c>
      <c r="AR177" s="1">
        <f>IFERROR(Table2[[#This Row],[Shelter_PIN]]*$W177,)</f>
        <v>0</v>
      </c>
      <c r="AS177" s="1">
        <f>IFERROR(Table2[[#This Row],[WASH_PIN]]*$W177,)</f>
        <v>0</v>
      </c>
      <c r="AT177" s="1">
        <f>IFERROR(Table2[[#This Row],[WASH_acute_PIN]]*$W177,)</f>
        <v>0</v>
      </c>
      <c r="AU177" s="1">
        <f>IFERROR(Table2[[#This Row],[Protection_PIN]]*$W177,)</f>
        <v>0</v>
      </c>
      <c r="AV177" s="1">
        <f>IFERROR(Table2[[#This Row],[Food_PIN]]*$W177,)</f>
        <v>0</v>
      </c>
      <c r="AW177" s="1">
        <f>IFERROR(Table2[[#This Row],[Protection_CP_PIN]]*$W177,)</f>
        <v>0</v>
      </c>
      <c r="AX177" s="1">
        <f>IFERROR(Table2[[#This Row],[Protection_GBV_PIN]]*$W177,)</f>
        <v>0</v>
      </c>
      <c r="AY177" s="1">
        <f>IFERROR(Table2[[#This Row],[Protection_MA_PIN]]*$W177,)</f>
        <v>0</v>
      </c>
      <c r="AZ177" s="1">
        <v>2</v>
      </c>
      <c r="BA177" s="1">
        <v>3</v>
      </c>
      <c r="BB177" s="1">
        <v>4</v>
      </c>
      <c r="BC177" s="1">
        <v>2</v>
      </c>
      <c r="BD177" s="1">
        <v>3</v>
      </c>
      <c r="BE177" s="1">
        <v>3</v>
      </c>
      <c r="BF177" s="1">
        <v>4</v>
      </c>
      <c r="BG177" s="1">
        <v>4</v>
      </c>
      <c r="BH177" s="1">
        <v>4</v>
      </c>
      <c r="BI177" s="1">
        <v>4</v>
      </c>
      <c r="BJ177" s="1">
        <v>4</v>
      </c>
      <c r="BK177" s="1" t="s">
        <v>665</v>
      </c>
      <c r="BL177" s="1">
        <v>4</v>
      </c>
    </row>
    <row r="178" spans="1:64" x14ac:dyDescent="0.35">
      <c r="A178" t="s">
        <v>157</v>
      </c>
      <c r="B178" t="s">
        <v>748</v>
      </c>
      <c r="C178" t="s">
        <v>158</v>
      </c>
      <c r="D178" t="s">
        <v>476</v>
      </c>
      <c r="E178" t="s">
        <v>865</v>
      </c>
      <c r="F178" t="s">
        <v>477</v>
      </c>
      <c r="G178" t="s">
        <v>476</v>
      </c>
      <c r="H178" s="1">
        <v>22821</v>
      </c>
      <c r="I178" s="1">
        <v>477</v>
      </c>
      <c r="J178" s="1">
        <v>29537</v>
      </c>
      <c r="K178" s="1">
        <v>6086</v>
      </c>
      <c r="L178" s="1">
        <v>10013.01851963807</v>
      </c>
      <c r="M178" s="1">
        <v>15072.2</v>
      </c>
      <c r="N178" s="1">
        <v>6530</v>
      </c>
      <c r="O178" s="1">
        <v>13920.870892792045</v>
      </c>
      <c r="P178" s="1">
        <v>6644</v>
      </c>
      <c r="Q178" s="1">
        <v>24342</v>
      </c>
      <c r="R178" s="1">
        <v>21426.383333333331</v>
      </c>
      <c r="S178" s="1">
        <v>7700.0000000000009</v>
      </c>
      <c r="T178" s="1">
        <v>13056</v>
      </c>
      <c r="U178" s="1">
        <v>30308</v>
      </c>
      <c r="V178" s="3">
        <f>_xlfn.XLOOKUP(Table2[[#This Row],[admin3Pcode]],'Inter-sector dataset'!F:F,'Inter-sector dataset'!Q:Q)</f>
        <v>0</v>
      </c>
      <c r="W178" s="3">
        <f>_xlfn.XLOOKUP(Table2[[#This Row],[admin3Pcode]],'Inter-sector dataset'!F:F,'Inter-sector dataset'!R:R)</f>
        <v>0</v>
      </c>
      <c r="X178" s="1">
        <f>IFERROR(Table2[[#This Row],[Health_PIN]]*$V178,)</f>
        <v>0</v>
      </c>
      <c r="Y178" s="1">
        <f>IFERROR(Table2[[#This Row],[CCCM_PIN]]*$V178,)</f>
        <v>0</v>
      </c>
      <c r="Z178" s="1">
        <f>IFERROR(Table2[[#This Row],[ERL_PIN]]*$V178,)</f>
        <v>0</v>
      </c>
      <c r="AA178" s="1">
        <f>IFERROR(Table2[[#This Row],[NFI_PIN]]*$V178,)</f>
        <v>0</v>
      </c>
      <c r="AB178" s="1">
        <f>IFERROR(Table2[[#This Row],[Nutrition_PIN]]*$V178,)</f>
        <v>0</v>
      </c>
      <c r="AC178" s="1">
        <f>IFERROR(Table2[[#This Row],[Education_PIN]]*$V178,)</f>
        <v>0</v>
      </c>
      <c r="AD178" s="1">
        <f>IFERROR(Table2[[#This Row],[Shelter_PIN]]*$V178,)</f>
        <v>0</v>
      </c>
      <c r="AE178" s="1">
        <f>IFERROR(Table2[[#This Row],[WASH_PIN]]*$V178,)</f>
        <v>0</v>
      </c>
      <c r="AF178" s="1">
        <f>IFERROR(Table2[[#This Row],[WASH_acute_PIN]]*$V178,)</f>
        <v>0</v>
      </c>
      <c r="AG178" s="1">
        <f>IFERROR(Table2[[#This Row],[Protection_PIN]]*$V178,)</f>
        <v>0</v>
      </c>
      <c r="AH178" s="1">
        <f>IFERROR(Table2[[#This Row],[Food_PIN]]*$V178,)</f>
        <v>0</v>
      </c>
      <c r="AI178" s="1">
        <f>IFERROR(Table2[[#This Row],[Protection_CP_PIN]]*$V178,)</f>
        <v>0</v>
      </c>
      <c r="AJ178" s="1">
        <f>IFERROR(Table2[[#This Row],[Protection_GBV_PIN]]*$V178,)</f>
        <v>0</v>
      </c>
      <c r="AK178" s="1">
        <f>IFERROR(Table2[[#This Row],[Protection_MA_PIN]]*$V178,)</f>
        <v>0</v>
      </c>
      <c r="AL178" s="1">
        <f>IFERROR(Table2[[#This Row],[Health_PIN]]*$W178,)</f>
        <v>0</v>
      </c>
      <c r="AM178" s="1">
        <f>IFERROR(Table2[[#This Row],[CCCM_PIN]]*$W178,)</f>
        <v>0</v>
      </c>
      <c r="AN178" s="1">
        <f>IFERROR(Table2[[#This Row],[ERL_PIN]]*$W178,)</f>
        <v>0</v>
      </c>
      <c r="AO178" s="1">
        <f>IFERROR(Table2[[#This Row],[NFI_PIN]]*$W178,)</f>
        <v>0</v>
      </c>
      <c r="AP178" s="1">
        <f>IFERROR(Table2[[#This Row],[Nutrition_PIN]]*$W178,)</f>
        <v>0</v>
      </c>
      <c r="AQ178" s="1">
        <f>IFERROR(Table2[[#This Row],[Education_PIN]]*$W178,)</f>
        <v>0</v>
      </c>
      <c r="AR178" s="1">
        <f>IFERROR(Table2[[#This Row],[Shelter_PIN]]*$W178,)</f>
        <v>0</v>
      </c>
      <c r="AS178" s="1">
        <f>IFERROR(Table2[[#This Row],[WASH_PIN]]*$W178,)</f>
        <v>0</v>
      </c>
      <c r="AT178" s="1">
        <f>IFERROR(Table2[[#This Row],[WASH_acute_PIN]]*$W178,)</f>
        <v>0</v>
      </c>
      <c r="AU178" s="1">
        <f>IFERROR(Table2[[#This Row],[Protection_PIN]]*$W178,)</f>
        <v>0</v>
      </c>
      <c r="AV178" s="1">
        <f>IFERROR(Table2[[#This Row],[Food_PIN]]*$W178,)</f>
        <v>0</v>
      </c>
      <c r="AW178" s="1">
        <f>IFERROR(Table2[[#This Row],[Protection_CP_PIN]]*$W178,)</f>
        <v>0</v>
      </c>
      <c r="AX178" s="1">
        <f>IFERROR(Table2[[#This Row],[Protection_GBV_PIN]]*$W178,)</f>
        <v>0</v>
      </c>
      <c r="AY178" s="1">
        <f>IFERROR(Table2[[#This Row],[Protection_MA_PIN]]*$W178,)</f>
        <v>0</v>
      </c>
      <c r="AZ178" s="1">
        <v>3</v>
      </c>
      <c r="BA178" s="1">
        <v>4</v>
      </c>
      <c r="BB178" s="1">
        <v>4</v>
      </c>
      <c r="BC178" s="1">
        <v>2</v>
      </c>
      <c r="BD178" s="1">
        <v>3</v>
      </c>
      <c r="BE178" s="1">
        <v>4</v>
      </c>
      <c r="BF178" s="1">
        <v>4</v>
      </c>
      <c r="BG178" s="1">
        <v>3</v>
      </c>
      <c r="BH178" s="1">
        <v>4</v>
      </c>
      <c r="BI178" s="1">
        <v>4</v>
      </c>
      <c r="BJ178" s="1">
        <v>4</v>
      </c>
      <c r="BK178" s="1">
        <v>4</v>
      </c>
      <c r="BL178" s="1">
        <v>3</v>
      </c>
    </row>
    <row r="179" spans="1:64" x14ac:dyDescent="0.35">
      <c r="A179" t="s">
        <v>104</v>
      </c>
      <c r="B179" t="s">
        <v>677</v>
      </c>
      <c r="C179" t="s">
        <v>105</v>
      </c>
      <c r="D179" t="s">
        <v>443</v>
      </c>
      <c r="E179" t="s">
        <v>866</v>
      </c>
      <c r="F179" t="s">
        <v>444</v>
      </c>
      <c r="G179" t="s">
        <v>443</v>
      </c>
      <c r="H179" s="1">
        <v>23099.25</v>
      </c>
      <c r="I179" s="1" t="s">
        <v>665</v>
      </c>
      <c r="J179" s="1">
        <v>30799</v>
      </c>
      <c r="K179" s="1">
        <v>7077</v>
      </c>
      <c r="L179" s="1">
        <v>6990.3756562879535</v>
      </c>
      <c r="M179" s="1">
        <v>11594</v>
      </c>
      <c r="N179" s="1">
        <v>8322</v>
      </c>
      <c r="O179" s="1">
        <v>29500.240381215539</v>
      </c>
      <c r="P179" s="1">
        <v>14193</v>
      </c>
      <c r="Q179" s="1">
        <v>24639</v>
      </c>
      <c r="R179" s="1">
        <v>17680.907407407412</v>
      </c>
      <c r="S179" s="1">
        <v>7901.7</v>
      </c>
      <c r="T179" s="1">
        <v>13525</v>
      </c>
      <c r="U179" s="1">
        <v>30799</v>
      </c>
      <c r="V179" s="3">
        <f>_xlfn.XLOOKUP(Table2[[#This Row],[admin3Pcode]],'Inter-sector dataset'!F:F,'Inter-sector dataset'!Q:Q)</f>
        <v>0</v>
      </c>
      <c r="W179" s="3">
        <f>_xlfn.XLOOKUP(Table2[[#This Row],[admin3Pcode]],'Inter-sector dataset'!F:F,'Inter-sector dataset'!R:R)</f>
        <v>0</v>
      </c>
      <c r="X179" s="1">
        <f>IFERROR(Table2[[#This Row],[Health_PIN]]*$V179,)</f>
        <v>0</v>
      </c>
      <c r="Y179" s="1">
        <f>IFERROR(Table2[[#This Row],[CCCM_PIN]]*$V179,)</f>
        <v>0</v>
      </c>
      <c r="Z179" s="1">
        <f>IFERROR(Table2[[#This Row],[ERL_PIN]]*$V179,)</f>
        <v>0</v>
      </c>
      <c r="AA179" s="1">
        <f>IFERROR(Table2[[#This Row],[NFI_PIN]]*$V179,)</f>
        <v>0</v>
      </c>
      <c r="AB179" s="1">
        <f>IFERROR(Table2[[#This Row],[Nutrition_PIN]]*$V179,)</f>
        <v>0</v>
      </c>
      <c r="AC179" s="1">
        <f>IFERROR(Table2[[#This Row],[Education_PIN]]*$V179,)</f>
        <v>0</v>
      </c>
      <c r="AD179" s="1">
        <f>IFERROR(Table2[[#This Row],[Shelter_PIN]]*$V179,)</f>
        <v>0</v>
      </c>
      <c r="AE179" s="1">
        <f>IFERROR(Table2[[#This Row],[WASH_PIN]]*$V179,)</f>
        <v>0</v>
      </c>
      <c r="AF179" s="1">
        <f>IFERROR(Table2[[#This Row],[WASH_acute_PIN]]*$V179,)</f>
        <v>0</v>
      </c>
      <c r="AG179" s="1">
        <f>IFERROR(Table2[[#This Row],[Protection_PIN]]*$V179,)</f>
        <v>0</v>
      </c>
      <c r="AH179" s="1">
        <f>IFERROR(Table2[[#This Row],[Food_PIN]]*$V179,)</f>
        <v>0</v>
      </c>
      <c r="AI179" s="1">
        <f>IFERROR(Table2[[#This Row],[Protection_CP_PIN]]*$V179,)</f>
        <v>0</v>
      </c>
      <c r="AJ179" s="1">
        <f>IFERROR(Table2[[#This Row],[Protection_GBV_PIN]]*$V179,)</f>
        <v>0</v>
      </c>
      <c r="AK179" s="1">
        <f>IFERROR(Table2[[#This Row],[Protection_MA_PIN]]*$V179,)</f>
        <v>0</v>
      </c>
      <c r="AL179" s="1">
        <f>IFERROR(Table2[[#This Row],[Health_PIN]]*$W179,)</f>
        <v>0</v>
      </c>
      <c r="AM179" s="1">
        <f>IFERROR(Table2[[#This Row],[CCCM_PIN]]*$W179,)</f>
        <v>0</v>
      </c>
      <c r="AN179" s="1">
        <f>IFERROR(Table2[[#This Row],[ERL_PIN]]*$W179,)</f>
        <v>0</v>
      </c>
      <c r="AO179" s="1">
        <f>IFERROR(Table2[[#This Row],[NFI_PIN]]*$W179,)</f>
        <v>0</v>
      </c>
      <c r="AP179" s="1">
        <f>IFERROR(Table2[[#This Row],[Nutrition_PIN]]*$W179,)</f>
        <v>0</v>
      </c>
      <c r="AQ179" s="1">
        <f>IFERROR(Table2[[#This Row],[Education_PIN]]*$W179,)</f>
        <v>0</v>
      </c>
      <c r="AR179" s="1">
        <f>IFERROR(Table2[[#This Row],[Shelter_PIN]]*$W179,)</f>
        <v>0</v>
      </c>
      <c r="AS179" s="1">
        <f>IFERROR(Table2[[#This Row],[WASH_PIN]]*$W179,)</f>
        <v>0</v>
      </c>
      <c r="AT179" s="1">
        <f>IFERROR(Table2[[#This Row],[WASH_acute_PIN]]*$W179,)</f>
        <v>0</v>
      </c>
      <c r="AU179" s="1">
        <f>IFERROR(Table2[[#This Row],[Protection_PIN]]*$W179,)</f>
        <v>0</v>
      </c>
      <c r="AV179" s="1">
        <f>IFERROR(Table2[[#This Row],[Food_PIN]]*$W179,)</f>
        <v>0</v>
      </c>
      <c r="AW179" s="1">
        <f>IFERROR(Table2[[#This Row],[Protection_CP_PIN]]*$W179,)</f>
        <v>0</v>
      </c>
      <c r="AX179" s="1">
        <f>IFERROR(Table2[[#This Row],[Protection_GBV_PIN]]*$W179,)</f>
        <v>0</v>
      </c>
      <c r="AY179" s="1">
        <f>IFERROR(Table2[[#This Row],[Protection_MA_PIN]]*$W179,)</f>
        <v>0</v>
      </c>
      <c r="AZ179" s="1">
        <v>3</v>
      </c>
      <c r="BA179" s="1">
        <v>3</v>
      </c>
      <c r="BB179" s="1">
        <v>4</v>
      </c>
      <c r="BC179" s="1">
        <v>3</v>
      </c>
      <c r="BD179" s="1">
        <v>4</v>
      </c>
      <c r="BE179" s="1">
        <v>4</v>
      </c>
      <c r="BF179" s="1">
        <v>4</v>
      </c>
      <c r="BG179" s="1">
        <v>4</v>
      </c>
      <c r="BH179" s="1">
        <v>4</v>
      </c>
      <c r="BI179" s="1">
        <v>4</v>
      </c>
      <c r="BJ179" s="1">
        <v>3</v>
      </c>
      <c r="BK179" s="1" t="s">
        <v>665</v>
      </c>
      <c r="BL179" s="1">
        <v>4</v>
      </c>
    </row>
    <row r="180" spans="1:64" x14ac:dyDescent="0.35">
      <c r="A180" t="s">
        <v>157</v>
      </c>
      <c r="B180" t="s">
        <v>748</v>
      </c>
      <c r="C180" t="s">
        <v>158</v>
      </c>
      <c r="D180" t="s">
        <v>257</v>
      </c>
      <c r="E180" t="s">
        <v>867</v>
      </c>
      <c r="F180" t="s">
        <v>258</v>
      </c>
      <c r="G180" t="s">
        <v>257</v>
      </c>
      <c r="H180" s="1">
        <v>32946</v>
      </c>
      <c r="I180" s="1" t="s">
        <v>665</v>
      </c>
      <c r="J180" s="1">
        <v>30757</v>
      </c>
      <c r="K180" s="1">
        <v>5573</v>
      </c>
      <c r="L180" s="1">
        <v>10883.889246068058</v>
      </c>
      <c r="M180" s="1">
        <v>14046.1</v>
      </c>
      <c r="N180" s="1">
        <v>9376</v>
      </c>
      <c r="O180" s="1">
        <v>32946</v>
      </c>
      <c r="P180" s="1">
        <v>24146</v>
      </c>
      <c r="Q180" s="1">
        <v>26357</v>
      </c>
      <c r="R180" s="1">
        <v>24015.582417582416</v>
      </c>
      <c r="S180" s="1">
        <v>10763.699999999999</v>
      </c>
      <c r="T180" s="1">
        <v>14429</v>
      </c>
      <c r="U180" s="1">
        <v>32946</v>
      </c>
      <c r="V180" s="3">
        <f>_xlfn.XLOOKUP(Table2[[#This Row],[admin3Pcode]],'Inter-sector dataset'!F:F,'Inter-sector dataset'!Q:Q)</f>
        <v>0</v>
      </c>
      <c r="W180" s="3">
        <f>_xlfn.XLOOKUP(Table2[[#This Row],[admin3Pcode]],'Inter-sector dataset'!F:F,'Inter-sector dataset'!R:R)</f>
        <v>0</v>
      </c>
      <c r="X180" s="1">
        <f>IFERROR(Table2[[#This Row],[Health_PIN]]*$V180,)</f>
        <v>0</v>
      </c>
      <c r="Y180" s="1">
        <f>IFERROR(Table2[[#This Row],[CCCM_PIN]]*$V180,)</f>
        <v>0</v>
      </c>
      <c r="Z180" s="1">
        <f>IFERROR(Table2[[#This Row],[ERL_PIN]]*$V180,)</f>
        <v>0</v>
      </c>
      <c r="AA180" s="1">
        <f>IFERROR(Table2[[#This Row],[NFI_PIN]]*$V180,)</f>
        <v>0</v>
      </c>
      <c r="AB180" s="1">
        <f>IFERROR(Table2[[#This Row],[Nutrition_PIN]]*$V180,)</f>
        <v>0</v>
      </c>
      <c r="AC180" s="1">
        <f>IFERROR(Table2[[#This Row],[Education_PIN]]*$V180,)</f>
        <v>0</v>
      </c>
      <c r="AD180" s="1">
        <f>IFERROR(Table2[[#This Row],[Shelter_PIN]]*$V180,)</f>
        <v>0</v>
      </c>
      <c r="AE180" s="1">
        <f>IFERROR(Table2[[#This Row],[WASH_PIN]]*$V180,)</f>
        <v>0</v>
      </c>
      <c r="AF180" s="1">
        <f>IFERROR(Table2[[#This Row],[WASH_acute_PIN]]*$V180,)</f>
        <v>0</v>
      </c>
      <c r="AG180" s="1">
        <f>IFERROR(Table2[[#This Row],[Protection_PIN]]*$V180,)</f>
        <v>0</v>
      </c>
      <c r="AH180" s="1">
        <f>IFERROR(Table2[[#This Row],[Food_PIN]]*$V180,)</f>
        <v>0</v>
      </c>
      <c r="AI180" s="1">
        <f>IFERROR(Table2[[#This Row],[Protection_CP_PIN]]*$V180,)</f>
        <v>0</v>
      </c>
      <c r="AJ180" s="1">
        <f>IFERROR(Table2[[#This Row],[Protection_GBV_PIN]]*$V180,)</f>
        <v>0</v>
      </c>
      <c r="AK180" s="1">
        <f>IFERROR(Table2[[#This Row],[Protection_MA_PIN]]*$V180,)</f>
        <v>0</v>
      </c>
      <c r="AL180" s="1">
        <f>IFERROR(Table2[[#This Row],[Health_PIN]]*$W180,)</f>
        <v>0</v>
      </c>
      <c r="AM180" s="1">
        <f>IFERROR(Table2[[#This Row],[CCCM_PIN]]*$W180,)</f>
        <v>0</v>
      </c>
      <c r="AN180" s="1">
        <f>IFERROR(Table2[[#This Row],[ERL_PIN]]*$W180,)</f>
        <v>0</v>
      </c>
      <c r="AO180" s="1">
        <f>IFERROR(Table2[[#This Row],[NFI_PIN]]*$W180,)</f>
        <v>0</v>
      </c>
      <c r="AP180" s="1">
        <f>IFERROR(Table2[[#This Row],[Nutrition_PIN]]*$W180,)</f>
        <v>0</v>
      </c>
      <c r="AQ180" s="1">
        <f>IFERROR(Table2[[#This Row],[Education_PIN]]*$W180,)</f>
        <v>0</v>
      </c>
      <c r="AR180" s="1">
        <f>IFERROR(Table2[[#This Row],[Shelter_PIN]]*$W180,)</f>
        <v>0</v>
      </c>
      <c r="AS180" s="1">
        <f>IFERROR(Table2[[#This Row],[WASH_PIN]]*$W180,)</f>
        <v>0</v>
      </c>
      <c r="AT180" s="1">
        <f>IFERROR(Table2[[#This Row],[WASH_acute_PIN]]*$W180,)</f>
        <v>0</v>
      </c>
      <c r="AU180" s="1">
        <f>IFERROR(Table2[[#This Row],[Protection_PIN]]*$W180,)</f>
        <v>0</v>
      </c>
      <c r="AV180" s="1">
        <f>IFERROR(Table2[[#This Row],[Food_PIN]]*$W180,)</f>
        <v>0</v>
      </c>
      <c r="AW180" s="1">
        <f>IFERROR(Table2[[#This Row],[Protection_CP_PIN]]*$W180,)</f>
        <v>0</v>
      </c>
      <c r="AX180" s="1">
        <f>IFERROR(Table2[[#This Row],[Protection_GBV_PIN]]*$W180,)</f>
        <v>0</v>
      </c>
      <c r="AY180" s="1">
        <f>IFERROR(Table2[[#This Row],[Protection_MA_PIN]]*$W180,)</f>
        <v>0</v>
      </c>
      <c r="AZ180" s="1">
        <v>3</v>
      </c>
      <c r="BA180" s="1">
        <v>4</v>
      </c>
      <c r="BB180" s="1">
        <v>4</v>
      </c>
      <c r="BC180" s="1">
        <v>2</v>
      </c>
      <c r="BD180" s="1">
        <v>3</v>
      </c>
      <c r="BE180" s="1">
        <v>5</v>
      </c>
      <c r="BF180" s="1">
        <v>4</v>
      </c>
      <c r="BG180" s="1">
        <v>4</v>
      </c>
      <c r="BH180" s="1">
        <v>4</v>
      </c>
      <c r="BI180" s="1">
        <v>4</v>
      </c>
      <c r="BJ180" s="1">
        <v>4</v>
      </c>
      <c r="BK180" s="1" t="s">
        <v>665</v>
      </c>
      <c r="BL180" s="1">
        <v>4</v>
      </c>
    </row>
    <row r="181" spans="1:64" x14ac:dyDescent="0.35">
      <c r="A181" t="s">
        <v>54</v>
      </c>
      <c r="B181" t="s">
        <v>709</v>
      </c>
      <c r="C181" t="s">
        <v>55</v>
      </c>
      <c r="D181" t="s">
        <v>165</v>
      </c>
      <c r="E181" t="s">
        <v>868</v>
      </c>
      <c r="F181" t="s">
        <v>166</v>
      </c>
      <c r="G181" t="s">
        <v>165</v>
      </c>
      <c r="H181" s="1">
        <v>24951</v>
      </c>
      <c r="I181" s="1" t="s">
        <v>665</v>
      </c>
      <c r="J181" s="1">
        <v>15990</v>
      </c>
      <c r="K181" s="1">
        <v>6654</v>
      </c>
      <c r="L181" s="1">
        <v>11546.42994913982</v>
      </c>
      <c r="M181" s="1">
        <v>11641.016666666666</v>
      </c>
      <c r="N181" s="1">
        <v>19697</v>
      </c>
      <c r="O181" s="1">
        <v>32643.963839492299</v>
      </c>
      <c r="P181" s="1">
        <v>6209</v>
      </c>
      <c r="Q181" s="1">
        <v>26614</v>
      </c>
      <c r="R181" s="1">
        <v>27771.547826086957</v>
      </c>
      <c r="S181" s="1">
        <v>15055.6</v>
      </c>
      <c r="T181" s="1">
        <v>13841</v>
      </c>
      <c r="U181" s="1">
        <v>32316</v>
      </c>
      <c r="V181" s="3">
        <f>_xlfn.XLOOKUP(Table2[[#This Row],[admin3Pcode]],'Inter-sector dataset'!F:F,'Inter-sector dataset'!Q:Q)</f>
        <v>1</v>
      </c>
      <c r="W181" s="3">
        <f>_xlfn.XLOOKUP(Table2[[#This Row],[admin3Pcode]],'Inter-sector dataset'!F:F,'Inter-sector dataset'!R:R)</f>
        <v>0</v>
      </c>
      <c r="X181" s="1">
        <f>IFERROR(Table2[[#This Row],[Health_PIN]]*$V181,)</f>
        <v>24951</v>
      </c>
      <c r="Y181" s="1">
        <f>IFERROR(Table2[[#This Row],[CCCM_PIN]]*$V181,)</f>
        <v>0</v>
      </c>
      <c r="Z181" s="1">
        <f>IFERROR(Table2[[#This Row],[ERL_PIN]]*$V181,)</f>
        <v>15990</v>
      </c>
      <c r="AA181" s="1">
        <f>IFERROR(Table2[[#This Row],[NFI_PIN]]*$V181,)</f>
        <v>6654</v>
      </c>
      <c r="AB181" s="1">
        <f>IFERROR(Table2[[#This Row],[Nutrition_PIN]]*$V181,)</f>
        <v>11546.42994913982</v>
      </c>
      <c r="AC181" s="1">
        <f>IFERROR(Table2[[#This Row],[Education_PIN]]*$V181,)</f>
        <v>11641.016666666666</v>
      </c>
      <c r="AD181" s="1">
        <f>IFERROR(Table2[[#This Row],[Shelter_PIN]]*$V181,)</f>
        <v>19697</v>
      </c>
      <c r="AE181" s="1">
        <f>IFERROR(Table2[[#This Row],[WASH_PIN]]*$V181,)</f>
        <v>32643.963839492299</v>
      </c>
      <c r="AF181" s="1">
        <f>IFERROR(Table2[[#This Row],[WASH_acute_PIN]]*$V181,)</f>
        <v>6209</v>
      </c>
      <c r="AG181" s="1">
        <f>IFERROR(Table2[[#This Row],[Protection_PIN]]*$V181,)</f>
        <v>26614</v>
      </c>
      <c r="AH181" s="1">
        <f>IFERROR(Table2[[#This Row],[Food_PIN]]*$V181,)</f>
        <v>27771.547826086957</v>
      </c>
      <c r="AI181" s="1">
        <f>IFERROR(Table2[[#This Row],[Protection_CP_PIN]]*$V181,)</f>
        <v>15055.6</v>
      </c>
      <c r="AJ181" s="1">
        <f>IFERROR(Table2[[#This Row],[Protection_GBV_PIN]]*$V181,)</f>
        <v>13841</v>
      </c>
      <c r="AK181" s="1">
        <f>IFERROR(Table2[[#This Row],[Protection_MA_PIN]]*$V181,)</f>
        <v>32316</v>
      </c>
      <c r="AL181" s="1">
        <f>IFERROR(Table2[[#This Row],[Health_PIN]]*$W181,)</f>
        <v>0</v>
      </c>
      <c r="AM181" s="1">
        <f>IFERROR(Table2[[#This Row],[CCCM_PIN]]*$W181,)</f>
        <v>0</v>
      </c>
      <c r="AN181" s="1">
        <f>IFERROR(Table2[[#This Row],[ERL_PIN]]*$W181,)</f>
        <v>0</v>
      </c>
      <c r="AO181" s="1">
        <f>IFERROR(Table2[[#This Row],[NFI_PIN]]*$W181,)</f>
        <v>0</v>
      </c>
      <c r="AP181" s="1">
        <f>IFERROR(Table2[[#This Row],[Nutrition_PIN]]*$W181,)</f>
        <v>0</v>
      </c>
      <c r="AQ181" s="1">
        <f>IFERROR(Table2[[#This Row],[Education_PIN]]*$W181,)</f>
        <v>0</v>
      </c>
      <c r="AR181" s="1">
        <f>IFERROR(Table2[[#This Row],[Shelter_PIN]]*$W181,)</f>
        <v>0</v>
      </c>
      <c r="AS181" s="1">
        <f>IFERROR(Table2[[#This Row],[WASH_PIN]]*$W181,)</f>
        <v>0</v>
      </c>
      <c r="AT181" s="1">
        <f>IFERROR(Table2[[#This Row],[WASH_acute_PIN]]*$W181,)</f>
        <v>0</v>
      </c>
      <c r="AU181" s="1">
        <f>IFERROR(Table2[[#This Row],[Protection_PIN]]*$W181,)</f>
        <v>0</v>
      </c>
      <c r="AV181" s="1">
        <f>IFERROR(Table2[[#This Row],[Food_PIN]]*$W181,)</f>
        <v>0</v>
      </c>
      <c r="AW181" s="1">
        <f>IFERROR(Table2[[#This Row],[Protection_CP_PIN]]*$W181,)</f>
        <v>0</v>
      </c>
      <c r="AX181" s="1">
        <f>IFERROR(Table2[[#This Row],[Protection_GBV_PIN]]*$W181,)</f>
        <v>0</v>
      </c>
      <c r="AY181" s="1">
        <f>IFERROR(Table2[[#This Row],[Protection_MA_PIN]]*$W181,)</f>
        <v>0</v>
      </c>
      <c r="AZ181" s="1">
        <v>4</v>
      </c>
      <c r="BA181" s="1">
        <v>5</v>
      </c>
      <c r="BB181" s="1">
        <v>5</v>
      </c>
      <c r="BC181" s="1">
        <v>2</v>
      </c>
      <c r="BD181" s="1">
        <v>3</v>
      </c>
      <c r="BE181" s="1">
        <v>4</v>
      </c>
      <c r="BF181" s="1">
        <v>4</v>
      </c>
      <c r="BG181" s="1">
        <v>5</v>
      </c>
      <c r="BH181" s="1">
        <v>4</v>
      </c>
      <c r="BI181" s="1">
        <v>4</v>
      </c>
      <c r="BJ181" s="1">
        <v>4</v>
      </c>
      <c r="BK181" s="1" t="s">
        <v>665</v>
      </c>
      <c r="BL181" s="1">
        <v>3</v>
      </c>
    </row>
    <row r="182" spans="1:64" x14ac:dyDescent="0.35">
      <c r="A182" t="s">
        <v>17</v>
      </c>
      <c r="B182" t="s">
        <v>663</v>
      </c>
      <c r="C182" t="s">
        <v>18</v>
      </c>
      <c r="D182" t="s">
        <v>26</v>
      </c>
      <c r="E182" t="s">
        <v>869</v>
      </c>
      <c r="F182" t="s">
        <v>27</v>
      </c>
      <c r="G182" t="s">
        <v>26</v>
      </c>
      <c r="H182" s="1">
        <v>0</v>
      </c>
      <c r="I182" s="1" t="s">
        <v>665</v>
      </c>
      <c r="J182" s="1">
        <v>32714</v>
      </c>
      <c r="K182" s="1">
        <v>2444</v>
      </c>
      <c r="L182" s="1">
        <v>9160.9586481167971</v>
      </c>
      <c r="M182" s="1">
        <v>2364.8761283656304</v>
      </c>
      <c r="N182" s="1">
        <v>6867</v>
      </c>
      <c r="O182" s="1">
        <v>2764.0000171394631</v>
      </c>
      <c r="P182" s="1">
        <v>0</v>
      </c>
      <c r="Q182" s="1">
        <v>27469</v>
      </c>
      <c r="R182" s="1">
        <v>20347.259259259255</v>
      </c>
      <c r="S182" s="1">
        <v>8772.5999999999985</v>
      </c>
      <c r="T182" s="1">
        <v>5893</v>
      </c>
      <c r="U182" s="1">
        <v>21182</v>
      </c>
      <c r="V182" s="3">
        <f>_xlfn.XLOOKUP(Table2[[#This Row],[admin3Pcode]],'Inter-sector dataset'!F:F,'Inter-sector dataset'!Q:Q)</f>
        <v>0</v>
      </c>
      <c r="W182" s="3">
        <f>_xlfn.XLOOKUP(Table2[[#This Row],[admin3Pcode]],'Inter-sector dataset'!F:F,'Inter-sector dataset'!R:R)</f>
        <v>0</v>
      </c>
      <c r="X182" s="1">
        <f>IFERROR(Table2[[#This Row],[Health_PIN]]*$V182,)</f>
        <v>0</v>
      </c>
      <c r="Y182" s="1">
        <f>IFERROR(Table2[[#This Row],[CCCM_PIN]]*$V182,)</f>
        <v>0</v>
      </c>
      <c r="Z182" s="1">
        <f>IFERROR(Table2[[#This Row],[ERL_PIN]]*$V182,)</f>
        <v>0</v>
      </c>
      <c r="AA182" s="1">
        <f>IFERROR(Table2[[#This Row],[NFI_PIN]]*$V182,)</f>
        <v>0</v>
      </c>
      <c r="AB182" s="1">
        <f>IFERROR(Table2[[#This Row],[Nutrition_PIN]]*$V182,)</f>
        <v>0</v>
      </c>
      <c r="AC182" s="1">
        <f>IFERROR(Table2[[#This Row],[Education_PIN]]*$V182,)</f>
        <v>0</v>
      </c>
      <c r="AD182" s="1">
        <f>IFERROR(Table2[[#This Row],[Shelter_PIN]]*$V182,)</f>
        <v>0</v>
      </c>
      <c r="AE182" s="1">
        <f>IFERROR(Table2[[#This Row],[WASH_PIN]]*$V182,)</f>
        <v>0</v>
      </c>
      <c r="AF182" s="1">
        <f>IFERROR(Table2[[#This Row],[WASH_acute_PIN]]*$V182,)</f>
        <v>0</v>
      </c>
      <c r="AG182" s="1">
        <f>IFERROR(Table2[[#This Row],[Protection_PIN]]*$V182,)</f>
        <v>0</v>
      </c>
      <c r="AH182" s="1">
        <f>IFERROR(Table2[[#This Row],[Food_PIN]]*$V182,)</f>
        <v>0</v>
      </c>
      <c r="AI182" s="1">
        <f>IFERROR(Table2[[#This Row],[Protection_CP_PIN]]*$V182,)</f>
        <v>0</v>
      </c>
      <c r="AJ182" s="1">
        <f>IFERROR(Table2[[#This Row],[Protection_GBV_PIN]]*$V182,)</f>
        <v>0</v>
      </c>
      <c r="AK182" s="1">
        <f>IFERROR(Table2[[#This Row],[Protection_MA_PIN]]*$V182,)</f>
        <v>0</v>
      </c>
      <c r="AL182" s="1">
        <f>IFERROR(Table2[[#This Row],[Health_PIN]]*$W182,)</f>
        <v>0</v>
      </c>
      <c r="AM182" s="1">
        <f>IFERROR(Table2[[#This Row],[CCCM_PIN]]*$W182,)</f>
        <v>0</v>
      </c>
      <c r="AN182" s="1">
        <f>IFERROR(Table2[[#This Row],[ERL_PIN]]*$W182,)</f>
        <v>0</v>
      </c>
      <c r="AO182" s="1">
        <f>IFERROR(Table2[[#This Row],[NFI_PIN]]*$W182,)</f>
        <v>0</v>
      </c>
      <c r="AP182" s="1">
        <f>IFERROR(Table2[[#This Row],[Nutrition_PIN]]*$W182,)</f>
        <v>0</v>
      </c>
      <c r="AQ182" s="1">
        <f>IFERROR(Table2[[#This Row],[Education_PIN]]*$W182,)</f>
        <v>0</v>
      </c>
      <c r="AR182" s="1">
        <f>IFERROR(Table2[[#This Row],[Shelter_PIN]]*$W182,)</f>
        <v>0</v>
      </c>
      <c r="AS182" s="1">
        <f>IFERROR(Table2[[#This Row],[WASH_PIN]]*$W182,)</f>
        <v>0</v>
      </c>
      <c r="AT182" s="1">
        <f>IFERROR(Table2[[#This Row],[WASH_acute_PIN]]*$W182,)</f>
        <v>0</v>
      </c>
      <c r="AU182" s="1">
        <f>IFERROR(Table2[[#This Row],[Protection_PIN]]*$W182,)</f>
        <v>0</v>
      </c>
      <c r="AV182" s="1">
        <f>IFERROR(Table2[[#This Row],[Food_PIN]]*$W182,)</f>
        <v>0</v>
      </c>
      <c r="AW182" s="1">
        <f>IFERROR(Table2[[#This Row],[Protection_CP_PIN]]*$W182,)</f>
        <v>0</v>
      </c>
      <c r="AX182" s="1">
        <f>IFERROR(Table2[[#This Row],[Protection_GBV_PIN]]*$W182,)</f>
        <v>0</v>
      </c>
      <c r="AY182" s="1">
        <f>IFERROR(Table2[[#This Row],[Protection_MA_PIN]]*$W182,)</f>
        <v>0</v>
      </c>
      <c r="AZ182" s="1">
        <v>2</v>
      </c>
      <c r="BA182" s="1">
        <v>3</v>
      </c>
      <c r="BB182" s="1">
        <v>4</v>
      </c>
      <c r="BC182" s="1">
        <v>2</v>
      </c>
      <c r="BD182" s="1">
        <v>3</v>
      </c>
      <c r="BE182" s="1">
        <v>2</v>
      </c>
      <c r="BF182" s="1">
        <v>4</v>
      </c>
      <c r="BG182" s="1">
        <v>4</v>
      </c>
      <c r="BH182" s="1">
        <v>2</v>
      </c>
      <c r="BI182" s="1">
        <v>4</v>
      </c>
      <c r="BJ182" s="1">
        <v>3</v>
      </c>
      <c r="BK182" s="1" t="s">
        <v>665</v>
      </c>
      <c r="BL182" s="1">
        <v>2</v>
      </c>
    </row>
    <row r="183" spans="1:64" x14ac:dyDescent="0.35">
      <c r="A183" t="s">
        <v>192</v>
      </c>
      <c r="B183" t="s">
        <v>711</v>
      </c>
      <c r="C183" t="s">
        <v>193</v>
      </c>
      <c r="D183" t="s">
        <v>275</v>
      </c>
      <c r="E183" t="s">
        <v>870</v>
      </c>
      <c r="F183" t="s">
        <v>276</v>
      </c>
      <c r="G183" t="s">
        <v>275</v>
      </c>
      <c r="H183" s="1">
        <v>27133.5</v>
      </c>
      <c r="I183" s="1">
        <v>3776</v>
      </c>
      <c r="J183" s="1">
        <v>15419</v>
      </c>
      <c r="K183" s="1">
        <v>7888</v>
      </c>
      <c r="L183" s="1">
        <v>10163.113887117954</v>
      </c>
      <c r="M183" s="1">
        <v>4898.2358336185962</v>
      </c>
      <c r="N183" s="1">
        <v>7668</v>
      </c>
      <c r="O183" s="1">
        <v>25841.640710058688</v>
      </c>
      <c r="P183" s="1">
        <v>6841</v>
      </c>
      <c r="Q183" s="1">
        <v>28942</v>
      </c>
      <c r="R183" s="1">
        <v>35650.357723577239</v>
      </c>
      <c r="S183" s="1">
        <v>9732.4000000000015</v>
      </c>
      <c r="T183" s="1">
        <v>15115</v>
      </c>
      <c r="U183" s="1">
        <v>27886</v>
      </c>
      <c r="V183" s="3">
        <f>_xlfn.XLOOKUP(Table2[[#This Row],[admin3Pcode]],'Inter-sector dataset'!F:F,'Inter-sector dataset'!Q:Q)</f>
        <v>1</v>
      </c>
      <c r="W183" s="3">
        <f>_xlfn.XLOOKUP(Table2[[#This Row],[admin3Pcode]],'Inter-sector dataset'!F:F,'Inter-sector dataset'!R:R)</f>
        <v>0</v>
      </c>
      <c r="X183" s="1">
        <f>IFERROR(Table2[[#This Row],[Health_PIN]]*$V183,)</f>
        <v>27133.5</v>
      </c>
      <c r="Y183" s="1">
        <f>IFERROR(Table2[[#This Row],[CCCM_PIN]]*$V183,)</f>
        <v>3776</v>
      </c>
      <c r="Z183" s="1">
        <f>IFERROR(Table2[[#This Row],[ERL_PIN]]*$V183,)</f>
        <v>15419</v>
      </c>
      <c r="AA183" s="1">
        <f>IFERROR(Table2[[#This Row],[NFI_PIN]]*$V183,)</f>
        <v>7888</v>
      </c>
      <c r="AB183" s="1">
        <f>IFERROR(Table2[[#This Row],[Nutrition_PIN]]*$V183,)</f>
        <v>10163.113887117954</v>
      </c>
      <c r="AC183" s="1">
        <f>IFERROR(Table2[[#This Row],[Education_PIN]]*$V183,)</f>
        <v>4898.2358336185962</v>
      </c>
      <c r="AD183" s="1">
        <f>IFERROR(Table2[[#This Row],[Shelter_PIN]]*$V183,)</f>
        <v>7668</v>
      </c>
      <c r="AE183" s="1">
        <f>IFERROR(Table2[[#This Row],[WASH_PIN]]*$V183,)</f>
        <v>25841.640710058688</v>
      </c>
      <c r="AF183" s="1">
        <f>IFERROR(Table2[[#This Row],[WASH_acute_PIN]]*$V183,)</f>
        <v>6841</v>
      </c>
      <c r="AG183" s="1">
        <f>IFERROR(Table2[[#This Row],[Protection_PIN]]*$V183,)</f>
        <v>28942</v>
      </c>
      <c r="AH183" s="1">
        <f>IFERROR(Table2[[#This Row],[Food_PIN]]*$V183,)</f>
        <v>35650.357723577239</v>
      </c>
      <c r="AI183" s="1">
        <f>IFERROR(Table2[[#This Row],[Protection_CP_PIN]]*$V183,)</f>
        <v>9732.4000000000015</v>
      </c>
      <c r="AJ183" s="1">
        <f>IFERROR(Table2[[#This Row],[Protection_GBV_PIN]]*$V183,)</f>
        <v>15115</v>
      </c>
      <c r="AK183" s="1">
        <f>IFERROR(Table2[[#This Row],[Protection_MA_PIN]]*$V183,)</f>
        <v>27886</v>
      </c>
      <c r="AL183" s="1">
        <f>IFERROR(Table2[[#This Row],[Health_PIN]]*$W183,)</f>
        <v>0</v>
      </c>
      <c r="AM183" s="1">
        <f>IFERROR(Table2[[#This Row],[CCCM_PIN]]*$W183,)</f>
        <v>0</v>
      </c>
      <c r="AN183" s="1">
        <f>IFERROR(Table2[[#This Row],[ERL_PIN]]*$W183,)</f>
        <v>0</v>
      </c>
      <c r="AO183" s="1">
        <f>IFERROR(Table2[[#This Row],[NFI_PIN]]*$W183,)</f>
        <v>0</v>
      </c>
      <c r="AP183" s="1">
        <f>IFERROR(Table2[[#This Row],[Nutrition_PIN]]*$W183,)</f>
        <v>0</v>
      </c>
      <c r="AQ183" s="1">
        <f>IFERROR(Table2[[#This Row],[Education_PIN]]*$W183,)</f>
        <v>0</v>
      </c>
      <c r="AR183" s="1">
        <f>IFERROR(Table2[[#This Row],[Shelter_PIN]]*$W183,)</f>
        <v>0</v>
      </c>
      <c r="AS183" s="1">
        <f>IFERROR(Table2[[#This Row],[WASH_PIN]]*$W183,)</f>
        <v>0</v>
      </c>
      <c r="AT183" s="1">
        <f>IFERROR(Table2[[#This Row],[WASH_acute_PIN]]*$W183,)</f>
        <v>0</v>
      </c>
      <c r="AU183" s="1">
        <f>IFERROR(Table2[[#This Row],[Protection_PIN]]*$W183,)</f>
        <v>0</v>
      </c>
      <c r="AV183" s="1">
        <f>IFERROR(Table2[[#This Row],[Food_PIN]]*$W183,)</f>
        <v>0</v>
      </c>
      <c r="AW183" s="1">
        <f>IFERROR(Table2[[#This Row],[Protection_CP_PIN]]*$W183,)</f>
        <v>0</v>
      </c>
      <c r="AX183" s="1">
        <f>IFERROR(Table2[[#This Row],[Protection_GBV_PIN]]*$W183,)</f>
        <v>0</v>
      </c>
      <c r="AY183" s="1">
        <f>IFERROR(Table2[[#This Row],[Protection_MA_PIN]]*$W183,)</f>
        <v>0</v>
      </c>
      <c r="AZ183" s="1">
        <v>3</v>
      </c>
      <c r="BA183" s="1">
        <v>3</v>
      </c>
      <c r="BB183" s="1">
        <v>4</v>
      </c>
      <c r="BC183" s="1">
        <v>3</v>
      </c>
      <c r="BD183" s="1">
        <v>2</v>
      </c>
      <c r="BE183" s="1">
        <v>4</v>
      </c>
      <c r="BF183" s="1">
        <v>4</v>
      </c>
      <c r="BG183" s="1">
        <v>3</v>
      </c>
      <c r="BH183" s="1">
        <v>4</v>
      </c>
      <c r="BI183" s="1">
        <v>4</v>
      </c>
      <c r="BJ183" s="1">
        <v>4</v>
      </c>
      <c r="BK183" s="1">
        <v>2</v>
      </c>
      <c r="BL183" s="1">
        <v>3</v>
      </c>
    </row>
    <row r="184" spans="1:64" x14ac:dyDescent="0.35">
      <c r="A184" t="s">
        <v>184</v>
      </c>
      <c r="B184" t="s">
        <v>730</v>
      </c>
      <c r="C184" t="s">
        <v>185</v>
      </c>
      <c r="D184" t="s">
        <v>267</v>
      </c>
      <c r="E184" t="s">
        <v>871</v>
      </c>
      <c r="F184" t="s">
        <v>268</v>
      </c>
      <c r="G184" t="s">
        <v>267</v>
      </c>
      <c r="H184" s="1">
        <v>27434.25</v>
      </c>
      <c r="I184" s="1" t="s">
        <v>665</v>
      </c>
      <c r="J184" s="1">
        <v>33763</v>
      </c>
      <c r="K184" s="1">
        <v>7332</v>
      </c>
      <c r="L184" s="1">
        <v>10411.458834503086</v>
      </c>
      <c r="M184" s="1">
        <v>14494.566666666668</v>
      </c>
      <c r="N184" s="1">
        <v>7458</v>
      </c>
      <c r="O184" s="1">
        <v>36050.933775921229</v>
      </c>
      <c r="P184" s="1">
        <v>26876</v>
      </c>
      <c r="Q184" s="1">
        <v>29263</v>
      </c>
      <c r="R184" s="1">
        <v>35937.263157894733</v>
      </c>
      <c r="S184" s="1">
        <v>7461.2000000000007</v>
      </c>
      <c r="T184" s="1">
        <v>19326</v>
      </c>
      <c r="U184" s="1">
        <v>18527</v>
      </c>
      <c r="V184" s="3">
        <f>_xlfn.XLOOKUP(Table2[[#This Row],[admin3Pcode]],'Inter-sector dataset'!F:F,'Inter-sector dataset'!Q:Q)</f>
        <v>0</v>
      </c>
      <c r="W184" s="3">
        <f>_xlfn.XLOOKUP(Table2[[#This Row],[admin3Pcode]],'Inter-sector dataset'!F:F,'Inter-sector dataset'!R:R)</f>
        <v>0</v>
      </c>
      <c r="X184" s="1">
        <f>IFERROR(Table2[[#This Row],[Health_PIN]]*$V184,)</f>
        <v>0</v>
      </c>
      <c r="Y184" s="1">
        <f>IFERROR(Table2[[#This Row],[CCCM_PIN]]*$V184,)</f>
        <v>0</v>
      </c>
      <c r="Z184" s="1">
        <f>IFERROR(Table2[[#This Row],[ERL_PIN]]*$V184,)</f>
        <v>0</v>
      </c>
      <c r="AA184" s="1">
        <f>IFERROR(Table2[[#This Row],[NFI_PIN]]*$V184,)</f>
        <v>0</v>
      </c>
      <c r="AB184" s="1">
        <f>IFERROR(Table2[[#This Row],[Nutrition_PIN]]*$V184,)</f>
        <v>0</v>
      </c>
      <c r="AC184" s="1">
        <f>IFERROR(Table2[[#This Row],[Education_PIN]]*$V184,)</f>
        <v>0</v>
      </c>
      <c r="AD184" s="1">
        <f>IFERROR(Table2[[#This Row],[Shelter_PIN]]*$V184,)</f>
        <v>0</v>
      </c>
      <c r="AE184" s="1">
        <f>IFERROR(Table2[[#This Row],[WASH_PIN]]*$V184,)</f>
        <v>0</v>
      </c>
      <c r="AF184" s="1">
        <f>IFERROR(Table2[[#This Row],[WASH_acute_PIN]]*$V184,)</f>
        <v>0</v>
      </c>
      <c r="AG184" s="1">
        <f>IFERROR(Table2[[#This Row],[Protection_PIN]]*$V184,)</f>
        <v>0</v>
      </c>
      <c r="AH184" s="1">
        <f>IFERROR(Table2[[#This Row],[Food_PIN]]*$V184,)</f>
        <v>0</v>
      </c>
      <c r="AI184" s="1">
        <f>IFERROR(Table2[[#This Row],[Protection_CP_PIN]]*$V184,)</f>
        <v>0</v>
      </c>
      <c r="AJ184" s="1">
        <f>IFERROR(Table2[[#This Row],[Protection_GBV_PIN]]*$V184,)</f>
        <v>0</v>
      </c>
      <c r="AK184" s="1">
        <f>IFERROR(Table2[[#This Row],[Protection_MA_PIN]]*$V184,)</f>
        <v>0</v>
      </c>
      <c r="AL184" s="1">
        <f>IFERROR(Table2[[#This Row],[Health_PIN]]*$W184,)</f>
        <v>0</v>
      </c>
      <c r="AM184" s="1">
        <f>IFERROR(Table2[[#This Row],[CCCM_PIN]]*$W184,)</f>
        <v>0</v>
      </c>
      <c r="AN184" s="1">
        <f>IFERROR(Table2[[#This Row],[ERL_PIN]]*$W184,)</f>
        <v>0</v>
      </c>
      <c r="AO184" s="1">
        <f>IFERROR(Table2[[#This Row],[NFI_PIN]]*$W184,)</f>
        <v>0</v>
      </c>
      <c r="AP184" s="1">
        <f>IFERROR(Table2[[#This Row],[Nutrition_PIN]]*$W184,)</f>
        <v>0</v>
      </c>
      <c r="AQ184" s="1">
        <f>IFERROR(Table2[[#This Row],[Education_PIN]]*$W184,)</f>
        <v>0</v>
      </c>
      <c r="AR184" s="1">
        <f>IFERROR(Table2[[#This Row],[Shelter_PIN]]*$W184,)</f>
        <v>0</v>
      </c>
      <c r="AS184" s="1">
        <f>IFERROR(Table2[[#This Row],[WASH_PIN]]*$W184,)</f>
        <v>0</v>
      </c>
      <c r="AT184" s="1">
        <f>IFERROR(Table2[[#This Row],[WASH_acute_PIN]]*$W184,)</f>
        <v>0</v>
      </c>
      <c r="AU184" s="1">
        <f>IFERROR(Table2[[#This Row],[Protection_PIN]]*$W184,)</f>
        <v>0</v>
      </c>
      <c r="AV184" s="1">
        <f>IFERROR(Table2[[#This Row],[Food_PIN]]*$W184,)</f>
        <v>0</v>
      </c>
      <c r="AW184" s="1">
        <f>IFERROR(Table2[[#This Row],[Protection_CP_PIN]]*$W184,)</f>
        <v>0</v>
      </c>
      <c r="AX184" s="1">
        <f>IFERROR(Table2[[#This Row],[Protection_GBV_PIN]]*$W184,)</f>
        <v>0</v>
      </c>
      <c r="AY184" s="1">
        <f>IFERROR(Table2[[#This Row],[Protection_MA_PIN]]*$W184,)</f>
        <v>0</v>
      </c>
      <c r="AZ184" s="1">
        <v>3</v>
      </c>
      <c r="BA184" s="1">
        <v>3</v>
      </c>
      <c r="BB184" s="1">
        <v>4</v>
      </c>
      <c r="BC184" s="1">
        <v>3</v>
      </c>
      <c r="BD184" s="1">
        <v>3</v>
      </c>
      <c r="BE184" s="1">
        <v>4</v>
      </c>
      <c r="BF184" s="1">
        <v>4</v>
      </c>
      <c r="BG184" s="1">
        <v>3</v>
      </c>
      <c r="BH184" s="1">
        <v>5</v>
      </c>
      <c r="BI184" s="1">
        <v>4</v>
      </c>
      <c r="BJ184" s="1">
        <v>4</v>
      </c>
      <c r="BK184" s="1" t="s">
        <v>665</v>
      </c>
      <c r="BL184" s="1">
        <v>4</v>
      </c>
    </row>
    <row r="185" spans="1:64" x14ac:dyDescent="0.35">
      <c r="A185" t="s">
        <v>28</v>
      </c>
      <c r="B185" t="s">
        <v>761</v>
      </c>
      <c r="C185" t="s">
        <v>29</v>
      </c>
      <c r="D185" t="s">
        <v>97</v>
      </c>
      <c r="E185" t="s">
        <v>872</v>
      </c>
      <c r="F185" t="s">
        <v>98</v>
      </c>
      <c r="G185" t="s">
        <v>97</v>
      </c>
      <c r="H185" s="1">
        <v>28244.25</v>
      </c>
      <c r="I185" s="1" t="s">
        <v>665</v>
      </c>
      <c r="J185" s="1">
        <v>30752</v>
      </c>
      <c r="K185" s="1">
        <v>7532</v>
      </c>
      <c r="L185" s="1">
        <v>9870.9930650224323</v>
      </c>
      <c r="M185" s="1">
        <v>5463.4786794165739</v>
      </c>
      <c r="N185" s="1">
        <v>7532</v>
      </c>
      <c r="O185" s="1">
        <v>31425.401936805083</v>
      </c>
      <c r="P185" s="1">
        <v>17067</v>
      </c>
      <c r="Q185" s="1">
        <v>30127</v>
      </c>
      <c r="R185" s="1">
        <v>20886.504201680676</v>
      </c>
      <c r="S185" s="1">
        <v>11241.3</v>
      </c>
      <c r="T185" s="1">
        <v>15858</v>
      </c>
      <c r="U185" s="1">
        <v>37659</v>
      </c>
      <c r="V185" s="3">
        <f>_xlfn.XLOOKUP(Table2[[#This Row],[admin3Pcode]],'Inter-sector dataset'!F:F,'Inter-sector dataset'!Q:Q)</f>
        <v>0</v>
      </c>
      <c r="W185" s="3">
        <f>_xlfn.XLOOKUP(Table2[[#This Row],[admin3Pcode]],'Inter-sector dataset'!F:F,'Inter-sector dataset'!R:R)</f>
        <v>0</v>
      </c>
      <c r="X185" s="1">
        <f>IFERROR(Table2[[#This Row],[Health_PIN]]*$V185,)</f>
        <v>0</v>
      </c>
      <c r="Y185" s="1">
        <f>IFERROR(Table2[[#This Row],[CCCM_PIN]]*$V185,)</f>
        <v>0</v>
      </c>
      <c r="Z185" s="1">
        <f>IFERROR(Table2[[#This Row],[ERL_PIN]]*$V185,)</f>
        <v>0</v>
      </c>
      <c r="AA185" s="1">
        <f>IFERROR(Table2[[#This Row],[NFI_PIN]]*$V185,)</f>
        <v>0</v>
      </c>
      <c r="AB185" s="1">
        <f>IFERROR(Table2[[#This Row],[Nutrition_PIN]]*$V185,)</f>
        <v>0</v>
      </c>
      <c r="AC185" s="1">
        <f>IFERROR(Table2[[#This Row],[Education_PIN]]*$V185,)</f>
        <v>0</v>
      </c>
      <c r="AD185" s="1">
        <f>IFERROR(Table2[[#This Row],[Shelter_PIN]]*$V185,)</f>
        <v>0</v>
      </c>
      <c r="AE185" s="1">
        <f>IFERROR(Table2[[#This Row],[WASH_PIN]]*$V185,)</f>
        <v>0</v>
      </c>
      <c r="AF185" s="1">
        <f>IFERROR(Table2[[#This Row],[WASH_acute_PIN]]*$V185,)</f>
        <v>0</v>
      </c>
      <c r="AG185" s="1">
        <f>IFERROR(Table2[[#This Row],[Protection_PIN]]*$V185,)</f>
        <v>0</v>
      </c>
      <c r="AH185" s="1">
        <f>IFERROR(Table2[[#This Row],[Food_PIN]]*$V185,)</f>
        <v>0</v>
      </c>
      <c r="AI185" s="1">
        <f>IFERROR(Table2[[#This Row],[Protection_CP_PIN]]*$V185,)</f>
        <v>0</v>
      </c>
      <c r="AJ185" s="1">
        <f>IFERROR(Table2[[#This Row],[Protection_GBV_PIN]]*$V185,)</f>
        <v>0</v>
      </c>
      <c r="AK185" s="1">
        <f>IFERROR(Table2[[#This Row],[Protection_MA_PIN]]*$V185,)</f>
        <v>0</v>
      </c>
      <c r="AL185" s="1">
        <f>IFERROR(Table2[[#This Row],[Health_PIN]]*$W185,)</f>
        <v>0</v>
      </c>
      <c r="AM185" s="1">
        <f>IFERROR(Table2[[#This Row],[CCCM_PIN]]*$W185,)</f>
        <v>0</v>
      </c>
      <c r="AN185" s="1">
        <f>IFERROR(Table2[[#This Row],[ERL_PIN]]*$W185,)</f>
        <v>0</v>
      </c>
      <c r="AO185" s="1">
        <f>IFERROR(Table2[[#This Row],[NFI_PIN]]*$W185,)</f>
        <v>0</v>
      </c>
      <c r="AP185" s="1">
        <f>IFERROR(Table2[[#This Row],[Nutrition_PIN]]*$W185,)</f>
        <v>0</v>
      </c>
      <c r="AQ185" s="1">
        <f>IFERROR(Table2[[#This Row],[Education_PIN]]*$W185,)</f>
        <v>0</v>
      </c>
      <c r="AR185" s="1">
        <f>IFERROR(Table2[[#This Row],[Shelter_PIN]]*$W185,)</f>
        <v>0</v>
      </c>
      <c r="AS185" s="1">
        <f>IFERROR(Table2[[#This Row],[WASH_PIN]]*$W185,)</f>
        <v>0</v>
      </c>
      <c r="AT185" s="1">
        <f>IFERROR(Table2[[#This Row],[WASH_acute_PIN]]*$W185,)</f>
        <v>0</v>
      </c>
      <c r="AU185" s="1">
        <f>IFERROR(Table2[[#This Row],[Protection_PIN]]*$W185,)</f>
        <v>0</v>
      </c>
      <c r="AV185" s="1">
        <f>IFERROR(Table2[[#This Row],[Food_PIN]]*$W185,)</f>
        <v>0</v>
      </c>
      <c r="AW185" s="1">
        <f>IFERROR(Table2[[#This Row],[Protection_CP_PIN]]*$W185,)</f>
        <v>0</v>
      </c>
      <c r="AX185" s="1">
        <f>IFERROR(Table2[[#This Row],[Protection_GBV_PIN]]*$W185,)</f>
        <v>0</v>
      </c>
      <c r="AY185" s="1">
        <f>IFERROR(Table2[[#This Row],[Protection_MA_PIN]]*$W185,)</f>
        <v>0</v>
      </c>
      <c r="AZ185" s="1">
        <v>2</v>
      </c>
      <c r="BA185" s="1">
        <v>3</v>
      </c>
      <c r="BB185" s="1">
        <v>5</v>
      </c>
      <c r="BC185" s="1">
        <v>2</v>
      </c>
      <c r="BD185" s="1">
        <v>3</v>
      </c>
      <c r="BE185" s="1">
        <v>4</v>
      </c>
      <c r="BF185" s="1">
        <v>4</v>
      </c>
      <c r="BG185" s="1">
        <v>4</v>
      </c>
      <c r="BH185" s="1">
        <v>4</v>
      </c>
      <c r="BI185" s="1">
        <v>4</v>
      </c>
      <c r="BJ185" s="1">
        <v>3</v>
      </c>
      <c r="BK185" s="1" t="s">
        <v>665</v>
      </c>
      <c r="BL185" s="1">
        <v>4</v>
      </c>
    </row>
    <row r="186" spans="1:64" x14ac:dyDescent="0.35">
      <c r="A186" t="s">
        <v>200</v>
      </c>
      <c r="B186" t="s">
        <v>683</v>
      </c>
      <c r="C186" t="s">
        <v>201</v>
      </c>
      <c r="D186" t="s">
        <v>376</v>
      </c>
      <c r="E186" t="s">
        <v>873</v>
      </c>
      <c r="F186" t="s">
        <v>377</v>
      </c>
      <c r="G186" t="s">
        <v>376</v>
      </c>
      <c r="H186" s="1">
        <v>28261.5</v>
      </c>
      <c r="I186" s="1" t="s">
        <v>665</v>
      </c>
      <c r="J186" s="1">
        <v>24699</v>
      </c>
      <c r="K186" s="1">
        <v>631</v>
      </c>
      <c r="L186" s="1">
        <v>11602.544200006887</v>
      </c>
      <c r="M186" s="1">
        <v>6382.1927281779217</v>
      </c>
      <c r="N186" s="1">
        <v>7852</v>
      </c>
      <c r="O186" s="1">
        <v>23695.766996574046</v>
      </c>
      <c r="P186" s="1">
        <v>11371</v>
      </c>
      <c r="Q186" s="1">
        <v>30146</v>
      </c>
      <c r="R186" s="1">
        <v>29748.94736842105</v>
      </c>
      <c r="S186" s="1">
        <v>12168.3</v>
      </c>
      <c r="T186" s="1">
        <v>9449</v>
      </c>
      <c r="U186" s="1">
        <v>24499</v>
      </c>
      <c r="V186" s="3">
        <f>_xlfn.XLOOKUP(Table2[[#This Row],[admin3Pcode]],'Inter-sector dataset'!F:F,'Inter-sector dataset'!Q:Q)</f>
        <v>0</v>
      </c>
      <c r="W186" s="3">
        <f>_xlfn.XLOOKUP(Table2[[#This Row],[admin3Pcode]],'Inter-sector dataset'!F:F,'Inter-sector dataset'!R:R)</f>
        <v>0.39</v>
      </c>
      <c r="X186" s="1">
        <f>IFERROR(Table2[[#This Row],[Health_PIN]]*$V186,)</f>
        <v>0</v>
      </c>
      <c r="Y186" s="1">
        <f>IFERROR(Table2[[#This Row],[CCCM_PIN]]*$V186,)</f>
        <v>0</v>
      </c>
      <c r="Z186" s="1">
        <f>IFERROR(Table2[[#This Row],[ERL_PIN]]*$V186,)</f>
        <v>0</v>
      </c>
      <c r="AA186" s="1">
        <f>IFERROR(Table2[[#This Row],[NFI_PIN]]*$V186,)</f>
        <v>0</v>
      </c>
      <c r="AB186" s="1">
        <f>IFERROR(Table2[[#This Row],[Nutrition_PIN]]*$V186,)</f>
        <v>0</v>
      </c>
      <c r="AC186" s="1">
        <f>IFERROR(Table2[[#This Row],[Education_PIN]]*$V186,)</f>
        <v>0</v>
      </c>
      <c r="AD186" s="1">
        <f>IFERROR(Table2[[#This Row],[Shelter_PIN]]*$V186,)</f>
        <v>0</v>
      </c>
      <c r="AE186" s="1">
        <f>IFERROR(Table2[[#This Row],[WASH_PIN]]*$V186,)</f>
        <v>0</v>
      </c>
      <c r="AF186" s="1">
        <f>IFERROR(Table2[[#This Row],[WASH_acute_PIN]]*$V186,)</f>
        <v>0</v>
      </c>
      <c r="AG186" s="1">
        <f>IFERROR(Table2[[#This Row],[Protection_PIN]]*$V186,)</f>
        <v>0</v>
      </c>
      <c r="AH186" s="1">
        <f>IFERROR(Table2[[#This Row],[Food_PIN]]*$V186,)</f>
        <v>0</v>
      </c>
      <c r="AI186" s="1">
        <f>IFERROR(Table2[[#This Row],[Protection_CP_PIN]]*$V186,)</f>
        <v>0</v>
      </c>
      <c r="AJ186" s="1">
        <f>IFERROR(Table2[[#This Row],[Protection_GBV_PIN]]*$V186,)</f>
        <v>0</v>
      </c>
      <c r="AK186" s="1">
        <f>IFERROR(Table2[[#This Row],[Protection_MA_PIN]]*$V186,)</f>
        <v>0</v>
      </c>
      <c r="AL186" s="1">
        <f>IFERROR(Table2[[#This Row],[Health_PIN]]*$W186,)</f>
        <v>11021.985000000001</v>
      </c>
      <c r="AM186" s="1">
        <f>IFERROR(Table2[[#This Row],[CCCM_PIN]]*$W186,)</f>
        <v>0</v>
      </c>
      <c r="AN186" s="1">
        <f>IFERROR(Table2[[#This Row],[ERL_PIN]]*$W186,)</f>
        <v>9632.61</v>
      </c>
      <c r="AO186" s="1">
        <f>IFERROR(Table2[[#This Row],[NFI_PIN]]*$W186,)</f>
        <v>246.09</v>
      </c>
      <c r="AP186" s="1">
        <f>IFERROR(Table2[[#This Row],[Nutrition_PIN]]*$W186,)</f>
        <v>4524.9922380026865</v>
      </c>
      <c r="AQ186" s="1">
        <f>IFERROR(Table2[[#This Row],[Education_PIN]]*$W186,)</f>
        <v>2489.0551639893897</v>
      </c>
      <c r="AR186" s="1">
        <f>IFERROR(Table2[[#This Row],[Shelter_PIN]]*$W186,)</f>
        <v>3062.28</v>
      </c>
      <c r="AS186" s="1">
        <f>IFERROR(Table2[[#This Row],[WASH_PIN]]*$W186,)</f>
        <v>9241.3491286638782</v>
      </c>
      <c r="AT186" s="1">
        <f>IFERROR(Table2[[#This Row],[WASH_acute_PIN]]*$W186,)</f>
        <v>4434.6900000000005</v>
      </c>
      <c r="AU186" s="1">
        <f>IFERROR(Table2[[#This Row],[Protection_PIN]]*$W186,)</f>
        <v>11756.94</v>
      </c>
      <c r="AV186" s="1">
        <f>IFERROR(Table2[[#This Row],[Food_PIN]]*$W186,)</f>
        <v>11602.089473684209</v>
      </c>
      <c r="AW186" s="1">
        <f>IFERROR(Table2[[#This Row],[Protection_CP_PIN]]*$W186,)</f>
        <v>4745.6369999999997</v>
      </c>
      <c r="AX186" s="1">
        <f>IFERROR(Table2[[#This Row],[Protection_GBV_PIN]]*$W186,)</f>
        <v>3685.11</v>
      </c>
      <c r="AY186" s="1">
        <f>IFERROR(Table2[[#This Row],[Protection_MA_PIN]]*$W186,)</f>
        <v>9554.61</v>
      </c>
      <c r="AZ186" s="1">
        <v>3</v>
      </c>
      <c r="BA186" s="1">
        <v>4</v>
      </c>
      <c r="BB186" s="1">
        <v>4</v>
      </c>
      <c r="BC186" s="1">
        <v>2</v>
      </c>
      <c r="BD186" s="1">
        <v>3</v>
      </c>
      <c r="BE186" s="1">
        <v>4</v>
      </c>
      <c r="BF186" s="1">
        <v>4</v>
      </c>
      <c r="BG186" s="1">
        <v>4</v>
      </c>
      <c r="BH186" s="1">
        <v>3</v>
      </c>
      <c r="BI186" s="1">
        <v>4</v>
      </c>
      <c r="BJ186" s="1">
        <v>4</v>
      </c>
      <c r="BK186" s="1" t="s">
        <v>665</v>
      </c>
      <c r="BL186" s="1">
        <v>4</v>
      </c>
    </row>
    <row r="187" spans="1:64" x14ac:dyDescent="0.35">
      <c r="A187" t="s">
        <v>104</v>
      </c>
      <c r="B187" t="s">
        <v>677</v>
      </c>
      <c r="C187" t="s">
        <v>105</v>
      </c>
      <c r="D187" t="s">
        <v>399</v>
      </c>
      <c r="E187" t="s">
        <v>874</v>
      </c>
      <c r="F187" t="s">
        <v>400</v>
      </c>
      <c r="G187" t="s">
        <v>875</v>
      </c>
      <c r="H187" s="1">
        <v>18955</v>
      </c>
      <c r="I187" s="1" t="s">
        <v>665</v>
      </c>
      <c r="J187" s="1">
        <v>29945</v>
      </c>
      <c r="K187" s="1">
        <v>7582</v>
      </c>
      <c r="L187" s="1">
        <v>9235.9782348050539</v>
      </c>
      <c r="M187" s="1">
        <v>16077.633333333333</v>
      </c>
      <c r="N187" s="1">
        <v>11373</v>
      </c>
      <c r="O187" s="1">
        <v>37910</v>
      </c>
      <c r="P187" s="1">
        <v>33581</v>
      </c>
      <c r="Q187" s="1">
        <v>30328</v>
      </c>
      <c r="R187" s="1">
        <v>30538.611111111113</v>
      </c>
      <c r="S187" s="1">
        <v>10834.5</v>
      </c>
      <c r="T187" s="1">
        <v>19644</v>
      </c>
      <c r="U187" s="1">
        <v>21101</v>
      </c>
      <c r="V187" s="3">
        <f>_xlfn.XLOOKUP(Table2[[#This Row],[admin3Pcode]],'Inter-sector dataset'!F:F,'Inter-sector dataset'!Q:Q)</f>
        <v>0</v>
      </c>
      <c r="W187" s="3">
        <f>_xlfn.XLOOKUP(Table2[[#This Row],[admin3Pcode]],'Inter-sector dataset'!F:F,'Inter-sector dataset'!R:R)</f>
        <v>0</v>
      </c>
      <c r="X187" s="1">
        <f>IFERROR(Table2[[#This Row],[Health_PIN]]*$V187,)</f>
        <v>0</v>
      </c>
      <c r="Y187" s="1">
        <f>IFERROR(Table2[[#This Row],[CCCM_PIN]]*$V187,)</f>
        <v>0</v>
      </c>
      <c r="Z187" s="1">
        <f>IFERROR(Table2[[#This Row],[ERL_PIN]]*$V187,)</f>
        <v>0</v>
      </c>
      <c r="AA187" s="1">
        <f>IFERROR(Table2[[#This Row],[NFI_PIN]]*$V187,)</f>
        <v>0</v>
      </c>
      <c r="AB187" s="1">
        <f>IFERROR(Table2[[#This Row],[Nutrition_PIN]]*$V187,)</f>
        <v>0</v>
      </c>
      <c r="AC187" s="1">
        <f>IFERROR(Table2[[#This Row],[Education_PIN]]*$V187,)</f>
        <v>0</v>
      </c>
      <c r="AD187" s="1">
        <f>IFERROR(Table2[[#This Row],[Shelter_PIN]]*$V187,)</f>
        <v>0</v>
      </c>
      <c r="AE187" s="1">
        <f>IFERROR(Table2[[#This Row],[WASH_PIN]]*$V187,)</f>
        <v>0</v>
      </c>
      <c r="AF187" s="1">
        <f>IFERROR(Table2[[#This Row],[WASH_acute_PIN]]*$V187,)</f>
        <v>0</v>
      </c>
      <c r="AG187" s="1">
        <f>IFERROR(Table2[[#This Row],[Protection_PIN]]*$V187,)</f>
        <v>0</v>
      </c>
      <c r="AH187" s="1">
        <f>IFERROR(Table2[[#This Row],[Food_PIN]]*$V187,)</f>
        <v>0</v>
      </c>
      <c r="AI187" s="1">
        <f>IFERROR(Table2[[#This Row],[Protection_CP_PIN]]*$V187,)</f>
        <v>0</v>
      </c>
      <c r="AJ187" s="1">
        <f>IFERROR(Table2[[#This Row],[Protection_GBV_PIN]]*$V187,)</f>
        <v>0</v>
      </c>
      <c r="AK187" s="1">
        <f>IFERROR(Table2[[#This Row],[Protection_MA_PIN]]*$V187,)</f>
        <v>0</v>
      </c>
      <c r="AL187" s="1">
        <f>IFERROR(Table2[[#This Row],[Health_PIN]]*$W187,)</f>
        <v>0</v>
      </c>
      <c r="AM187" s="1">
        <f>IFERROR(Table2[[#This Row],[CCCM_PIN]]*$W187,)</f>
        <v>0</v>
      </c>
      <c r="AN187" s="1">
        <f>IFERROR(Table2[[#This Row],[ERL_PIN]]*$W187,)</f>
        <v>0</v>
      </c>
      <c r="AO187" s="1">
        <f>IFERROR(Table2[[#This Row],[NFI_PIN]]*$W187,)</f>
        <v>0</v>
      </c>
      <c r="AP187" s="1">
        <f>IFERROR(Table2[[#This Row],[Nutrition_PIN]]*$W187,)</f>
        <v>0</v>
      </c>
      <c r="AQ187" s="1">
        <f>IFERROR(Table2[[#This Row],[Education_PIN]]*$W187,)</f>
        <v>0</v>
      </c>
      <c r="AR187" s="1">
        <f>IFERROR(Table2[[#This Row],[Shelter_PIN]]*$W187,)</f>
        <v>0</v>
      </c>
      <c r="AS187" s="1">
        <f>IFERROR(Table2[[#This Row],[WASH_PIN]]*$W187,)</f>
        <v>0</v>
      </c>
      <c r="AT187" s="1">
        <f>IFERROR(Table2[[#This Row],[WASH_acute_PIN]]*$W187,)</f>
        <v>0</v>
      </c>
      <c r="AU187" s="1">
        <f>IFERROR(Table2[[#This Row],[Protection_PIN]]*$W187,)</f>
        <v>0</v>
      </c>
      <c r="AV187" s="1">
        <f>IFERROR(Table2[[#This Row],[Food_PIN]]*$W187,)</f>
        <v>0</v>
      </c>
      <c r="AW187" s="1">
        <f>IFERROR(Table2[[#This Row],[Protection_CP_PIN]]*$W187,)</f>
        <v>0</v>
      </c>
      <c r="AX187" s="1">
        <f>IFERROR(Table2[[#This Row],[Protection_GBV_PIN]]*$W187,)</f>
        <v>0</v>
      </c>
      <c r="AY187" s="1">
        <f>IFERROR(Table2[[#This Row],[Protection_MA_PIN]]*$W187,)</f>
        <v>0</v>
      </c>
      <c r="AZ187" s="1">
        <v>3</v>
      </c>
      <c r="BA187" s="1">
        <v>4</v>
      </c>
      <c r="BB187" s="1">
        <v>4</v>
      </c>
      <c r="BC187" s="1">
        <v>2</v>
      </c>
      <c r="BD187" s="1">
        <v>3</v>
      </c>
      <c r="BE187" s="1">
        <v>3</v>
      </c>
      <c r="BF187" s="1">
        <v>4</v>
      </c>
      <c r="BG187" s="1">
        <v>4</v>
      </c>
      <c r="BH187" s="1">
        <v>5</v>
      </c>
      <c r="BI187" s="1">
        <v>4</v>
      </c>
      <c r="BJ187" s="1">
        <v>4</v>
      </c>
      <c r="BK187" s="1" t="s">
        <v>665</v>
      </c>
      <c r="BL187" s="1">
        <v>4</v>
      </c>
    </row>
    <row r="188" spans="1:64" x14ac:dyDescent="0.35">
      <c r="A188" t="s">
        <v>200</v>
      </c>
      <c r="B188" t="s">
        <v>683</v>
      </c>
      <c r="C188" t="s">
        <v>201</v>
      </c>
      <c r="D188" t="s">
        <v>348</v>
      </c>
      <c r="E188" t="s">
        <v>876</v>
      </c>
      <c r="F188" t="s">
        <v>349</v>
      </c>
      <c r="G188" t="s">
        <v>348</v>
      </c>
      <c r="H188" s="1">
        <v>28519.5</v>
      </c>
      <c r="I188" s="1">
        <v>137</v>
      </c>
      <c r="J188" s="1">
        <v>11629</v>
      </c>
      <c r="K188" s="1">
        <v>8486</v>
      </c>
      <c r="L188" s="1">
        <v>12990.54376285358</v>
      </c>
      <c r="M188" s="1">
        <v>16830.933333333334</v>
      </c>
      <c r="N188" s="1">
        <v>7633</v>
      </c>
      <c r="O188" s="1">
        <v>34555.029685755988</v>
      </c>
      <c r="P188" s="1">
        <v>19572</v>
      </c>
      <c r="Q188" s="1">
        <v>30421</v>
      </c>
      <c r="R188" s="1">
        <v>27500.946428571428</v>
      </c>
      <c r="S188" s="1">
        <v>12255.9</v>
      </c>
      <c r="T188" s="1">
        <v>16230</v>
      </c>
      <c r="U188" s="1">
        <v>22479</v>
      </c>
      <c r="V188" s="3">
        <f>_xlfn.XLOOKUP(Table2[[#This Row],[admin3Pcode]],'Inter-sector dataset'!F:F,'Inter-sector dataset'!Q:Q)</f>
        <v>0</v>
      </c>
      <c r="W188" s="3">
        <f>_xlfn.XLOOKUP(Table2[[#This Row],[admin3Pcode]],'Inter-sector dataset'!F:F,'Inter-sector dataset'!R:R)</f>
        <v>0.5</v>
      </c>
      <c r="X188" s="1">
        <f>IFERROR(Table2[[#This Row],[Health_PIN]]*$V188,)</f>
        <v>0</v>
      </c>
      <c r="Y188" s="1">
        <f>IFERROR(Table2[[#This Row],[CCCM_PIN]]*$V188,)</f>
        <v>0</v>
      </c>
      <c r="Z188" s="1">
        <f>IFERROR(Table2[[#This Row],[ERL_PIN]]*$V188,)</f>
        <v>0</v>
      </c>
      <c r="AA188" s="1">
        <f>IFERROR(Table2[[#This Row],[NFI_PIN]]*$V188,)</f>
        <v>0</v>
      </c>
      <c r="AB188" s="1">
        <f>IFERROR(Table2[[#This Row],[Nutrition_PIN]]*$V188,)</f>
        <v>0</v>
      </c>
      <c r="AC188" s="1">
        <f>IFERROR(Table2[[#This Row],[Education_PIN]]*$V188,)</f>
        <v>0</v>
      </c>
      <c r="AD188" s="1">
        <f>IFERROR(Table2[[#This Row],[Shelter_PIN]]*$V188,)</f>
        <v>0</v>
      </c>
      <c r="AE188" s="1">
        <f>IFERROR(Table2[[#This Row],[WASH_PIN]]*$V188,)</f>
        <v>0</v>
      </c>
      <c r="AF188" s="1">
        <f>IFERROR(Table2[[#This Row],[WASH_acute_PIN]]*$V188,)</f>
        <v>0</v>
      </c>
      <c r="AG188" s="1">
        <f>IFERROR(Table2[[#This Row],[Protection_PIN]]*$V188,)</f>
        <v>0</v>
      </c>
      <c r="AH188" s="1">
        <f>IFERROR(Table2[[#This Row],[Food_PIN]]*$V188,)</f>
        <v>0</v>
      </c>
      <c r="AI188" s="1">
        <f>IFERROR(Table2[[#This Row],[Protection_CP_PIN]]*$V188,)</f>
        <v>0</v>
      </c>
      <c r="AJ188" s="1">
        <f>IFERROR(Table2[[#This Row],[Protection_GBV_PIN]]*$V188,)</f>
        <v>0</v>
      </c>
      <c r="AK188" s="1">
        <f>IFERROR(Table2[[#This Row],[Protection_MA_PIN]]*$V188,)</f>
        <v>0</v>
      </c>
      <c r="AL188" s="1">
        <f>IFERROR(Table2[[#This Row],[Health_PIN]]*$W188,)</f>
        <v>14259.75</v>
      </c>
      <c r="AM188" s="1">
        <f>IFERROR(Table2[[#This Row],[CCCM_PIN]]*$W188,)</f>
        <v>68.5</v>
      </c>
      <c r="AN188" s="1">
        <f>IFERROR(Table2[[#This Row],[ERL_PIN]]*$W188,)</f>
        <v>5814.5</v>
      </c>
      <c r="AO188" s="1">
        <f>IFERROR(Table2[[#This Row],[NFI_PIN]]*$W188,)</f>
        <v>4243</v>
      </c>
      <c r="AP188" s="1">
        <f>IFERROR(Table2[[#This Row],[Nutrition_PIN]]*$W188,)</f>
        <v>6495.2718814267901</v>
      </c>
      <c r="AQ188" s="1">
        <f>IFERROR(Table2[[#This Row],[Education_PIN]]*$W188,)</f>
        <v>8415.4666666666672</v>
      </c>
      <c r="AR188" s="1">
        <f>IFERROR(Table2[[#This Row],[Shelter_PIN]]*$W188,)</f>
        <v>3816.5</v>
      </c>
      <c r="AS188" s="1">
        <f>IFERROR(Table2[[#This Row],[WASH_PIN]]*$W188,)</f>
        <v>17277.514842877994</v>
      </c>
      <c r="AT188" s="1">
        <f>IFERROR(Table2[[#This Row],[WASH_acute_PIN]]*$W188,)</f>
        <v>9786</v>
      </c>
      <c r="AU188" s="1">
        <f>IFERROR(Table2[[#This Row],[Protection_PIN]]*$W188,)</f>
        <v>15210.5</v>
      </c>
      <c r="AV188" s="1">
        <f>IFERROR(Table2[[#This Row],[Food_PIN]]*$W188,)</f>
        <v>13750.473214285714</v>
      </c>
      <c r="AW188" s="1">
        <f>IFERROR(Table2[[#This Row],[Protection_CP_PIN]]*$W188,)</f>
        <v>6127.95</v>
      </c>
      <c r="AX188" s="1">
        <f>IFERROR(Table2[[#This Row],[Protection_GBV_PIN]]*$W188,)</f>
        <v>8115</v>
      </c>
      <c r="AY188" s="1">
        <f>IFERROR(Table2[[#This Row],[Protection_MA_PIN]]*$W188,)</f>
        <v>11239.5</v>
      </c>
      <c r="AZ188" s="1">
        <v>3</v>
      </c>
      <c r="BA188" s="1">
        <v>4</v>
      </c>
      <c r="BB188" s="1">
        <v>5</v>
      </c>
      <c r="BC188" s="1">
        <v>3</v>
      </c>
      <c r="BD188" s="1">
        <v>2</v>
      </c>
      <c r="BE188" s="1">
        <v>4</v>
      </c>
      <c r="BF188" s="1">
        <v>4</v>
      </c>
      <c r="BG188" s="1">
        <v>4</v>
      </c>
      <c r="BH188" s="1">
        <v>4</v>
      </c>
      <c r="BI188" s="1">
        <v>4</v>
      </c>
      <c r="BJ188" s="1">
        <v>4</v>
      </c>
      <c r="BK188" s="1">
        <v>4</v>
      </c>
      <c r="BL188" s="1">
        <v>4</v>
      </c>
    </row>
    <row r="189" spans="1:64" x14ac:dyDescent="0.35">
      <c r="A189" t="s">
        <v>184</v>
      </c>
      <c r="B189" t="s">
        <v>730</v>
      </c>
      <c r="C189" t="s">
        <v>185</v>
      </c>
      <c r="D189" t="s">
        <v>414</v>
      </c>
      <c r="E189" t="s">
        <v>877</v>
      </c>
      <c r="F189" t="s">
        <v>415</v>
      </c>
      <c r="G189" t="s">
        <v>414</v>
      </c>
      <c r="H189" s="1">
        <v>28845</v>
      </c>
      <c r="I189" s="1" t="s">
        <v>665</v>
      </c>
      <c r="J189" s="1">
        <v>35572</v>
      </c>
      <c r="K189" s="1">
        <v>1378</v>
      </c>
      <c r="L189" s="1">
        <v>11693.698065516863</v>
      </c>
      <c r="M189" s="1">
        <v>7239.4364882174195</v>
      </c>
      <c r="N189" s="1">
        <v>8093</v>
      </c>
      <c r="O189" s="1">
        <v>38459.999999999993</v>
      </c>
      <c r="P189" s="1">
        <v>18725</v>
      </c>
      <c r="Q189" s="1">
        <v>30768</v>
      </c>
      <c r="R189" s="1">
        <v>21794</v>
      </c>
      <c r="S189" s="1">
        <v>7165.2000000000007</v>
      </c>
      <c r="T189" s="1">
        <v>16014</v>
      </c>
      <c r="U189" s="1">
        <v>23174</v>
      </c>
      <c r="V189" s="3">
        <f>_xlfn.XLOOKUP(Table2[[#This Row],[admin3Pcode]],'Inter-sector dataset'!F:F,'Inter-sector dataset'!Q:Q)</f>
        <v>0</v>
      </c>
      <c r="W189" s="3">
        <f>_xlfn.XLOOKUP(Table2[[#This Row],[admin3Pcode]],'Inter-sector dataset'!F:F,'Inter-sector dataset'!R:R)</f>
        <v>0</v>
      </c>
      <c r="X189" s="1">
        <f>IFERROR(Table2[[#This Row],[Health_PIN]]*$V189,)</f>
        <v>0</v>
      </c>
      <c r="Y189" s="1">
        <f>IFERROR(Table2[[#This Row],[CCCM_PIN]]*$V189,)</f>
        <v>0</v>
      </c>
      <c r="Z189" s="1">
        <f>IFERROR(Table2[[#This Row],[ERL_PIN]]*$V189,)</f>
        <v>0</v>
      </c>
      <c r="AA189" s="1">
        <f>IFERROR(Table2[[#This Row],[NFI_PIN]]*$V189,)</f>
        <v>0</v>
      </c>
      <c r="AB189" s="1">
        <f>IFERROR(Table2[[#This Row],[Nutrition_PIN]]*$V189,)</f>
        <v>0</v>
      </c>
      <c r="AC189" s="1">
        <f>IFERROR(Table2[[#This Row],[Education_PIN]]*$V189,)</f>
        <v>0</v>
      </c>
      <c r="AD189" s="1">
        <f>IFERROR(Table2[[#This Row],[Shelter_PIN]]*$V189,)</f>
        <v>0</v>
      </c>
      <c r="AE189" s="1">
        <f>IFERROR(Table2[[#This Row],[WASH_PIN]]*$V189,)</f>
        <v>0</v>
      </c>
      <c r="AF189" s="1">
        <f>IFERROR(Table2[[#This Row],[WASH_acute_PIN]]*$V189,)</f>
        <v>0</v>
      </c>
      <c r="AG189" s="1">
        <f>IFERROR(Table2[[#This Row],[Protection_PIN]]*$V189,)</f>
        <v>0</v>
      </c>
      <c r="AH189" s="1">
        <f>IFERROR(Table2[[#This Row],[Food_PIN]]*$V189,)</f>
        <v>0</v>
      </c>
      <c r="AI189" s="1">
        <f>IFERROR(Table2[[#This Row],[Protection_CP_PIN]]*$V189,)</f>
        <v>0</v>
      </c>
      <c r="AJ189" s="1">
        <f>IFERROR(Table2[[#This Row],[Protection_GBV_PIN]]*$V189,)</f>
        <v>0</v>
      </c>
      <c r="AK189" s="1">
        <f>IFERROR(Table2[[#This Row],[Protection_MA_PIN]]*$V189,)</f>
        <v>0</v>
      </c>
      <c r="AL189" s="1">
        <f>IFERROR(Table2[[#This Row],[Health_PIN]]*$W189,)</f>
        <v>0</v>
      </c>
      <c r="AM189" s="1">
        <f>IFERROR(Table2[[#This Row],[CCCM_PIN]]*$W189,)</f>
        <v>0</v>
      </c>
      <c r="AN189" s="1">
        <f>IFERROR(Table2[[#This Row],[ERL_PIN]]*$W189,)</f>
        <v>0</v>
      </c>
      <c r="AO189" s="1">
        <f>IFERROR(Table2[[#This Row],[NFI_PIN]]*$W189,)</f>
        <v>0</v>
      </c>
      <c r="AP189" s="1">
        <f>IFERROR(Table2[[#This Row],[Nutrition_PIN]]*$W189,)</f>
        <v>0</v>
      </c>
      <c r="AQ189" s="1">
        <f>IFERROR(Table2[[#This Row],[Education_PIN]]*$W189,)</f>
        <v>0</v>
      </c>
      <c r="AR189" s="1">
        <f>IFERROR(Table2[[#This Row],[Shelter_PIN]]*$W189,)</f>
        <v>0</v>
      </c>
      <c r="AS189" s="1">
        <f>IFERROR(Table2[[#This Row],[WASH_PIN]]*$W189,)</f>
        <v>0</v>
      </c>
      <c r="AT189" s="1">
        <f>IFERROR(Table2[[#This Row],[WASH_acute_PIN]]*$W189,)</f>
        <v>0</v>
      </c>
      <c r="AU189" s="1">
        <f>IFERROR(Table2[[#This Row],[Protection_PIN]]*$W189,)</f>
        <v>0</v>
      </c>
      <c r="AV189" s="1">
        <f>IFERROR(Table2[[#This Row],[Food_PIN]]*$W189,)</f>
        <v>0</v>
      </c>
      <c r="AW189" s="1">
        <f>IFERROR(Table2[[#This Row],[Protection_CP_PIN]]*$W189,)</f>
        <v>0</v>
      </c>
      <c r="AX189" s="1">
        <f>IFERROR(Table2[[#This Row],[Protection_GBV_PIN]]*$W189,)</f>
        <v>0</v>
      </c>
      <c r="AY189" s="1">
        <f>IFERROR(Table2[[#This Row],[Protection_MA_PIN]]*$W189,)</f>
        <v>0</v>
      </c>
      <c r="AZ189" s="1">
        <v>3</v>
      </c>
      <c r="BA189" s="1">
        <v>3</v>
      </c>
      <c r="BB189" s="1">
        <v>4</v>
      </c>
      <c r="BC189" s="1">
        <v>2</v>
      </c>
      <c r="BD189" s="1">
        <v>3</v>
      </c>
      <c r="BE189" s="1">
        <v>4</v>
      </c>
      <c r="BF189" s="1">
        <v>4</v>
      </c>
      <c r="BG189" s="1">
        <v>3</v>
      </c>
      <c r="BH189" s="1">
        <v>4</v>
      </c>
      <c r="BI189" s="1">
        <v>4</v>
      </c>
      <c r="BJ189" s="1">
        <v>4</v>
      </c>
      <c r="BK189" s="1" t="s">
        <v>665</v>
      </c>
      <c r="BL189" s="1">
        <v>4</v>
      </c>
    </row>
    <row r="190" spans="1:64" x14ac:dyDescent="0.35">
      <c r="A190" t="s">
        <v>205</v>
      </c>
      <c r="B190" t="s">
        <v>723</v>
      </c>
      <c r="C190" t="s">
        <v>206</v>
      </c>
      <c r="D190" t="s">
        <v>416</v>
      </c>
      <c r="E190" t="s">
        <v>878</v>
      </c>
      <c r="F190" t="s">
        <v>472</v>
      </c>
      <c r="G190" t="s">
        <v>416</v>
      </c>
      <c r="H190" s="1">
        <v>19510</v>
      </c>
      <c r="I190" s="1" t="s">
        <v>665</v>
      </c>
      <c r="J190" s="1">
        <v>38272</v>
      </c>
      <c r="K190" s="1">
        <v>10054</v>
      </c>
      <c r="L190" s="1">
        <v>10450.006133955823</v>
      </c>
      <c r="M190" s="1">
        <v>12332.316666666668</v>
      </c>
      <c r="N190" s="1">
        <v>5348</v>
      </c>
      <c r="O190" s="1">
        <v>30641.943825598784</v>
      </c>
      <c r="P190" s="1">
        <v>8810</v>
      </c>
      <c r="Q190" s="1">
        <v>31216</v>
      </c>
      <c r="R190" s="1">
        <v>19259.871794871797</v>
      </c>
      <c r="S190" s="1">
        <v>7801.2</v>
      </c>
      <c r="T190" s="1">
        <v>14913</v>
      </c>
      <c r="U190" s="1">
        <v>38820</v>
      </c>
      <c r="V190" s="3">
        <f>_xlfn.XLOOKUP(Table2[[#This Row],[admin3Pcode]],'Inter-sector dataset'!F:F,'Inter-sector dataset'!Q:Q)</f>
        <v>0</v>
      </c>
      <c r="W190" s="3">
        <f>_xlfn.XLOOKUP(Table2[[#This Row],[admin3Pcode]],'Inter-sector dataset'!F:F,'Inter-sector dataset'!R:R)</f>
        <v>0</v>
      </c>
      <c r="X190" s="1">
        <f>IFERROR(Table2[[#This Row],[Health_PIN]]*$V190,)</f>
        <v>0</v>
      </c>
      <c r="Y190" s="1">
        <f>IFERROR(Table2[[#This Row],[CCCM_PIN]]*$V190,)</f>
        <v>0</v>
      </c>
      <c r="Z190" s="1">
        <f>IFERROR(Table2[[#This Row],[ERL_PIN]]*$V190,)</f>
        <v>0</v>
      </c>
      <c r="AA190" s="1">
        <f>IFERROR(Table2[[#This Row],[NFI_PIN]]*$V190,)</f>
        <v>0</v>
      </c>
      <c r="AB190" s="1">
        <f>IFERROR(Table2[[#This Row],[Nutrition_PIN]]*$V190,)</f>
        <v>0</v>
      </c>
      <c r="AC190" s="1">
        <f>IFERROR(Table2[[#This Row],[Education_PIN]]*$V190,)</f>
        <v>0</v>
      </c>
      <c r="AD190" s="1">
        <f>IFERROR(Table2[[#This Row],[Shelter_PIN]]*$V190,)</f>
        <v>0</v>
      </c>
      <c r="AE190" s="1">
        <f>IFERROR(Table2[[#This Row],[WASH_PIN]]*$V190,)</f>
        <v>0</v>
      </c>
      <c r="AF190" s="1">
        <f>IFERROR(Table2[[#This Row],[WASH_acute_PIN]]*$V190,)</f>
        <v>0</v>
      </c>
      <c r="AG190" s="1">
        <f>IFERROR(Table2[[#This Row],[Protection_PIN]]*$V190,)</f>
        <v>0</v>
      </c>
      <c r="AH190" s="1">
        <f>IFERROR(Table2[[#This Row],[Food_PIN]]*$V190,)</f>
        <v>0</v>
      </c>
      <c r="AI190" s="1">
        <f>IFERROR(Table2[[#This Row],[Protection_CP_PIN]]*$V190,)</f>
        <v>0</v>
      </c>
      <c r="AJ190" s="1">
        <f>IFERROR(Table2[[#This Row],[Protection_GBV_PIN]]*$V190,)</f>
        <v>0</v>
      </c>
      <c r="AK190" s="1">
        <f>IFERROR(Table2[[#This Row],[Protection_MA_PIN]]*$V190,)</f>
        <v>0</v>
      </c>
      <c r="AL190" s="1">
        <f>IFERROR(Table2[[#This Row],[Health_PIN]]*$W190,)</f>
        <v>0</v>
      </c>
      <c r="AM190" s="1">
        <f>IFERROR(Table2[[#This Row],[CCCM_PIN]]*$W190,)</f>
        <v>0</v>
      </c>
      <c r="AN190" s="1">
        <f>IFERROR(Table2[[#This Row],[ERL_PIN]]*$W190,)</f>
        <v>0</v>
      </c>
      <c r="AO190" s="1">
        <f>IFERROR(Table2[[#This Row],[NFI_PIN]]*$W190,)</f>
        <v>0</v>
      </c>
      <c r="AP190" s="1">
        <f>IFERROR(Table2[[#This Row],[Nutrition_PIN]]*$W190,)</f>
        <v>0</v>
      </c>
      <c r="AQ190" s="1">
        <f>IFERROR(Table2[[#This Row],[Education_PIN]]*$W190,)</f>
        <v>0</v>
      </c>
      <c r="AR190" s="1">
        <f>IFERROR(Table2[[#This Row],[Shelter_PIN]]*$W190,)</f>
        <v>0</v>
      </c>
      <c r="AS190" s="1">
        <f>IFERROR(Table2[[#This Row],[WASH_PIN]]*$W190,)</f>
        <v>0</v>
      </c>
      <c r="AT190" s="1">
        <f>IFERROR(Table2[[#This Row],[WASH_acute_PIN]]*$W190,)</f>
        <v>0</v>
      </c>
      <c r="AU190" s="1">
        <f>IFERROR(Table2[[#This Row],[Protection_PIN]]*$W190,)</f>
        <v>0</v>
      </c>
      <c r="AV190" s="1">
        <f>IFERROR(Table2[[#This Row],[Food_PIN]]*$W190,)</f>
        <v>0</v>
      </c>
      <c r="AW190" s="1">
        <f>IFERROR(Table2[[#This Row],[Protection_CP_PIN]]*$W190,)</f>
        <v>0</v>
      </c>
      <c r="AX190" s="1">
        <f>IFERROR(Table2[[#This Row],[Protection_GBV_PIN]]*$W190,)</f>
        <v>0</v>
      </c>
      <c r="AY190" s="1">
        <f>IFERROR(Table2[[#This Row],[Protection_MA_PIN]]*$W190,)</f>
        <v>0</v>
      </c>
      <c r="AZ190" s="1">
        <v>2</v>
      </c>
      <c r="BA190" s="1">
        <v>3</v>
      </c>
      <c r="BB190" s="1">
        <v>3</v>
      </c>
      <c r="BC190" s="1">
        <v>3</v>
      </c>
      <c r="BD190" s="1">
        <v>3</v>
      </c>
      <c r="BE190" s="1">
        <v>3</v>
      </c>
      <c r="BF190" s="1">
        <v>4</v>
      </c>
      <c r="BG190" s="1">
        <v>3</v>
      </c>
      <c r="BH190" s="1">
        <v>4</v>
      </c>
      <c r="BI190" s="1">
        <v>4</v>
      </c>
      <c r="BJ190" s="1">
        <v>4</v>
      </c>
      <c r="BK190" s="1" t="s">
        <v>665</v>
      </c>
      <c r="BL190" s="1">
        <v>3</v>
      </c>
    </row>
    <row r="191" spans="1:64" x14ac:dyDescent="0.35">
      <c r="A191" t="s">
        <v>157</v>
      </c>
      <c r="B191" t="s">
        <v>748</v>
      </c>
      <c r="C191" t="s">
        <v>158</v>
      </c>
      <c r="D191" t="s">
        <v>514</v>
      </c>
      <c r="E191" t="s">
        <v>879</v>
      </c>
      <c r="F191" t="s">
        <v>515</v>
      </c>
      <c r="G191" t="s">
        <v>514</v>
      </c>
      <c r="H191" s="1">
        <v>29272.5</v>
      </c>
      <c r="I191" s="1">
        <v>334</v>
      </c>
      <c r="J191" s="1">
        <v>28128</v>
      </c>
      <c r="K191" s="1">
        <v>8874</v>
      </c>
      <c r="L191" s="1">
        <v>9395.0199109228961</v>
      </c>
      <c r="M191" s="1">
        <v>14859.390332388977</v>
      </c>
      <c r="N191" s="1">
        <v>2136</v>
      </c>
      <c r="O191" s="1">
        <v>18484.394504271317</v>
      </c>
      <c r="P191" s="1">
        <v>4300</v>
      </c>
      <c r="Q191" s="1">
        <v>31224</v>
      </c>
      <c r="R191" s="1">
        <v>13343.589743589742</v>
      </c>
      <c r="S191" s="1">
        <v>19539.400000000001</v>
      </c>
      <c r="T191" s="1">
        <v>15866</v>
      </c>
      <c r="U191" s="1">
        <v>39030</v>
      </c>
      <c r="V191" s="3">
        <f>_xlfn.XLOOKUP(Table2[[#This Row],[admin3Pcode]],'Inter-sector dataset'!F:F,'Inter-sector dataset'!Q:Q)</f>
        <v>0</v>
      </c>
      <c r="W191" s="3">
        <f>_xlfn.XLOOKUP(Table2[[#This Row],[admin3Pcode]],'Inter-sector dataset'!F:F,'Inter-sector dataset'!R:R)</f>
        <v>0</v>
      </c>
      <c r="X191" s="1">
        <f>IFERROR(Table2[[#This Row],[Health_PIN]]*$V191,)</f>
        <v>0</v>
      </c>
      <c r="Y191" s="1">
        <f>IFERROR(Table2[[#This Row],[CCCM_PIN]]*$V191,)</f>
        <v>0</v>
      </c>
      <c r="Z191" s="1">
        <f>IFERROR(Table2[[#This Row],[ERL_PIN]]*$V191,)</f>
        <v>0</v>
      </c>
      <c r="AA191" s="1">
        <f>IFERROR(Table2[[#This Row],[NFI_PIN]]*$V191,)</f>
        <v>0</v>
      </c>
      <c r="AB191" s="1">
        <f>IFERROR(Table2[[#This Row],[Nutrition_PIN]]*$V191,)</f>
        <v>0</v>
      </c>
      <c r="AC191" s="1">
        <f>IFERROR(Table2[[#This Row],[Education_PIN]]*$V191,)</f>
        <v>0</v>
      </c>
      <c r="AD191" s="1">
        <f>IFERROR(Table2[[#This Row],[Shelter_PIN]]*$V191,)</f>
        <v>0</v>
      </c>
      <c r="AE191" s="1">
        <f>IFERROR(Table2[[#This Row],[WASH_PIN]]*$V191,)</f>
        <v>0</v>
      </c>
      <c r="AF191" s="1">
        <f>IFERROR(Table2[[#This Row],[WASH_acute_PIN]]*$V191,)</f>
        <v>0</v>
      </c>
      <c r="AG191" s="1">
        <f>IFERROR(Table2[[#This Row],[Protection_PIN]]*$V191,)</f>
        <v>0</v>
      </c>
      <c r="AH191" s="1">
        <f>IFERROR(Table2[[#This Row],[Food_PIN]]*$V191,)</f>
        <v>0</v>
      </c>
      <c r="AI191" s="1">
        <f>IFERROR(Table2[[#This Row],[Protection_CP_PIN]]*$V191,)</f>
        <v>0</v>
      </c>
      <c r="AJ191" s="1">
        <f>IFERROR(Table2[[#This Row],[Protection_GBV_PIN]]*$V191,)</f>
        <v>0</v>
      </c>
      <c r="AK191" s="1">
        <f>IFERROR(Table2[[#This Row],[Protection_MA_PIN]]*$V191,)</f>
        <v>0</v>
      </c>
      <c r="AL191" s="1">
        <f>IFERROR(Table2[[#This Row],[Health_PIN]]*$W191,)</f>
        <v>0</v>
      </c>
      <c r="AM191" s="1">
        <f>IFERROR(Table2[[#This Row],[CCCM_PIN]]*$W191,)</f>
        <v>0</v>
      </c>
      <c r="AN191" s="1">
        <f>IFERROR(Table2[[#This Row],[ERL_PIN]]*$W191,)</f>
        <v>0</v>
      </c>
      <c r="AO191" s="1">
        <f>IFERROR(Table2[[#This Row],[NFI_PIN]]*$W191,)</f>
        <v>0</v>
      </c>
      <c r="AP191" s="1">
        <f>IFERROR(Table2[[#This Row],[Nutrition_PIN]]*$W191,)</f>
        <v>0</v>
      </c>
      <c r="AQ191" s="1">
        <f>IFERROR(Table2[[#This Row],[Education_PIN]]*$W191,)</f>
        <v>0</v>
      </c>
      <c r="AR191" s="1">
        <f>IFERROR(Table2[[#This Row],[Shelter_PIN]]*$W191,)</f>
        <v>0</v>
      </c>
      <c r="AS191" s="1">
        <f>IFERROR(Table2[[#This Row],[WASH_PIN]]*$W191,)</f>
        <v>0</v>
      </c>
      <c r="AT191" s="1">
        <f>IFERROR(Table2[[#This Row],[WASH_acute_PIN]]*$W191,)</f>
        <v>0</v>
      </c>
      <c r="AU191" s="1">
        <f>IFERROR(Table2[[#This Row],[Protection_PIN]]*$W191,)</f>
        <v>0</v>
      </c>
      <c r="AV191" s="1">
        <f>IFERROR(Table2[[#This Row],[Food_PIN]]*$W191,)</f>
        <v>0</v>
      </c>
      <c r="AW191" s="1">
        <f>IFERROR(Table2[[#This Row],[Protection_CP_PIN]]*$W191,)</f>
        <v>0</v>
      </c>
      <c r="AX191" s="1">
        <f>IFERROR(Table2[[#This Row],[Protection_GBV_PIN]]*$W191,)</f>
        <v>0</v>
      </c>
      <c r="AY191" s="1">
        <f>IFERROR(Table2[[#This Row],[Protection_MA_PIN]]*$W191,)</f>
        <v>0</v>
      </c>
      <c r="AZ191" s="1">
        <v>2</v>
      </c>
      <c r="BA191" s="1">
        <v>4</v>
      </c>
      <c r="BB191" s="1">
        <v>4</v>
      </c>
      <c r="BC191" s="1">
        <v>3</v>
      </c>
      <c r="BD191" s="1">
        <v>3</v>
      </c>
      <c r="BE191" s="1">
        <v>4</v>
      </c>
      <c r="BF191" s="1">
        <v>4</v>
      </c>
      <c r="BG191" s="1">
        <v>5</v>
      </c>
      <c r="BH191" s="1">
        <v>4</v>
      </c>
      <c r="BI191" s="1">
        <v>4</v>
      </c>
      <c r="BJ191" s="1">
        <v>3</v>
      </c>
      <c r="BK191" s="1">
        <v>4</v>
      </c>
      <c r="BL191" s="1">
        <v>3</v>
      </c>
    </row>
    <row r="192" spans="1:64" x14ac:dyDescent="0.35">
      <c r="A192" t="s">
        <v>54</v>
      </c>
      <c r="B192" t="s">
        <v>709</v>
      </c>
      <c r="C192" t="s">
        <v>55</v>
      </c>
      <c r="D192" t="s">
        <v>395</v>
      </c>
      <c r="E192" t="s">
        <v>880</v>
      </c>
      <c r="F192" t="s">
        <v>396</v>
      </c>
      <c r="G192" t="s">
        <v>395</v>
      </c>
      <c r="H192" s="1">
        <v>29505.75</v>
      </c>
      <c r="I192" s="1" t="s">
        <v>665</v>
      </c>
      <c r="J192" s="1">
        <v>34460</v>
      </c>
      <c r="K192" s="1">
        <v>23605</v>
      </c>
      <c r="L192" s="1">
        <v>12000.264940730654</v>
      </c>
      <c r="M192" s="1">
        <v>19778.516666666666</v>
      </c>
      <c r="N192" s="1">
        <v>7868</v>
      </c>
      <c r="O192" s="1">
        <v>25753.934388659909</v>
      </c>
      <c r="P192" s="1">
        <v>4333</v>
      </c>
      <c r="Q192" s="1">
        <v>31473</v>
      </c>
      <c r="R192" s="1">
        <v>34274.356060606064</v>
      </c>
      <c r="S192" s="1">
        <v>9161.2000000000007</v>
      </c>
      <c r="T192" s="1">
        <v>10469</v>
      </c>
      <c r="U192" s="1">
        <v>39138</v>
      </c>
      <c r="V192" s="3">
        <f>_xlfn.XLOOKUP(Table2[[#This Row],[admin3Pcode]],'Inter-sector dataset'!F:F,'Inter-sector dataset'!Q:Q)</f>
        <v>0</v>
      </c>
      <c r="W192" s="3">
        <f>_xlfn.XLOOKUP(Table2[[#This Row],[admin3Pcode]],'Inter-sector dataset'!F:F,'Inter-sector dataset'!R:R)</f>
        <v>0</v>
      </c>
      <c r="X192" s="1">
        <f>IFERROR(Table2[[#This Row],[Health_PIN]]*$V192,)</f>
        <v>0</v>
      </c>
      <c r="Y192" s="1">
        <f>IFERROR(Table2[[#This Row],[CCCM_PIN]]*$V192,)</f>
        <v>0</v>
      </c>
      <c r="Z192" s="1">
        <f>IFERROR(Table2[[#This Row],[ERL_PIN]]*$V192,)</f>
        <v>0</v>
      </c>
      <c r="AA192" s="1">
        <f>IFERROR(Table2[[#This Row],[NFI_PIN]]*$V192,)</f>
        <v>0</v>
      </c>
      <c r="AB192" s="1">
        <f>IFERROR(Table2[[#This Row],[Nutrition_PIN]]*$V192,)</f>
        <v>0</v>
      </c>
      <c r="AC192" s="1">
        <f>IFERROR(Table2[[#This Row],[Education_PIN]]*$V192,)</f>
        <v>0</v>
      </c>
      <c r="AD192" s="1">
        <f>IFERROR(Table2[[#This Row],[Shelter_PIN]]*$V192,)</f>
        <v>0</v>
      </c>
      <c r="AE192" s="1">
        <f>IFERROR(Table2[[#This Row],[WASH_PIN]]*$V192,)</f>
        <v>0</v>
      </c>
      <c r="AF192" s="1">
        <f>IFERROR(Table2[[#This Row],[WASH_acute_PIN]]*$V192,)</f>
        <v>0</v>
      </c>
      <c r="AG192" s="1">
        <f>IFERROR(Table2[[#This Row],[Protection_PIN]]*$V192,)</f>
        <v>0</v>
      </c>
      <c r="AH192" s="1">
        <f>IFERROR(Table2[[#This Row],[Food_PIN]]*$V192,)</f>
        <v>0</v>
      </c>
      <c r="AI192" s="1">
        <f>IFERROR(Table2[[#This Row],[Protection_CP_PIN]]*$V192,)</f>
        <v>0</v>
      </c>
      <c r="AJ192" s="1">
        <f>IFERROR(Table2[[#This Row],[Protection_GBV_PIN]]*$V192,)</f>
        <v>0</v>
      </c>
      <c r="AK192" s="1">
        <f>IFERROR(Table2[[#This Row],[Protection_MA_PIN]]*$V192,)</f>
        <v>0</v>
      </c>
      <c r="AL192" s="1">
        <f>IFERROR(Table2[[#This Row],[Health_PIN]]*$W192,)</f>
        <v>0</v>
      </c>
      <c r="AM192" s="1">
        <f>IFERROR(Table2[[#This Row],[CCCM_PIN]]*$W192,)</f>
        <v>0</v>
      </c>
      <c r="AN192" s="1">
        <f>IFERROR(Table2[[#This Row],[ERL_PIN]]*$W192,)</f>
        <v>0</v>
      </c>
      <c r="AO192" s="1">
        <f>IFERROR(Table2[[#This Row],[NFI_PIN]]*$W192,)</f>
        <v>0</v>
      </c>
      <c r="AP192" s="1">
        <f>IFERROR(Table2[[#This Row],[Nutrition_PIN]]*$W192,)</f>
        <v>0</v>
      </c>
      <c r="AQ192" s="1">
        <f>IFERROR(Table2[[#This Row],[Education_PIN]]*$W192,)</f>
        <v>0</v>
      </c>
      <c r="AR192" s="1">
        <f>IFERROR(Table2[[#This Row],[Shelter_PIN]]*$W192,)</f>
        <v>0</v>
      </c>
      <c r="AS192" s="1">
        <f>IFERROR(Table2[[#This Row],[WASH_PIN]]*$W192,)</f>
        <v>0</v>
      </c>
      <c r="AT192" s="1">
        <f>IFERROR(Table2[[#This Row],[WASH_acute_PIN]]*$W192,)</f>
        <v>0</v>
      </c>
      <c r="AU192" s="1">
        <f>IFERROR(Table2[[#This Row],[Protection_PIN]]*$W192,)</f>
        <v>0</v>
      </c>
      <c r="AV192" s="1">
        <f>IFERROR(Table2[[#This Row],[Food_PIN]]*$W192,)</f>
        <v>0</v>
      </c>
      <c r="AW192" s="1">
        <f>IFERROR(Table2[[#This Row],[Protection_CP_PIN]]*$W192,)</f>
        <v>0</v>
      </c>
      <c r="AX192" s="1">
        <f>IFERROR(Table2[[#This Row],[Protection_GBV_PIN]]*$W192,)</f>
        <v>0</v>
      </c>
      <c r="AY192" s="1">
        <f>IFERROR(Table2[[#This Row],[Protection_MA_PIN]]*$W192,)</f>
        <v>0</v>
      </c>
      <c r="AZ192" s="1">
        <v>2</v>
      </c>
      <c r="BA192" s="1">
        <v>4</v>
      </c>
      <c r="BB192" s="1">
        <v>4</v>
      </c>
      <c r="BC192" s="1">
        <v>4</v>
      </c>
      <c r="BD192" s="1">
        <v>3</v>
      </c>
      <c r="BE192" s="1">
        <v>4</v>
      </c>
      <c r="BF192" s="1">
        <v>4</v>
      </c>
      <c r="BG192" s="1">
        <v>3</v>
      </c>
      <c r="BH192" s="1">
        <v>3</v>
      </c>
      <c r="BI192" s="1">
        <v>4</v>
      </c>
      <c r="BJ192" s="1">
        <v>4</v>
      </c>
      <c r="BK192" s="1" t="s">
        <v>665</v>
      </c>
      <c r="BL192" s="1">
        <v>3</v>
      </c>
    </row>
    <row r="193" spans="1:64" x14ac:dyDescent="0.35">
      <c r="A193" t="s">
        <v>54</v>
      </c>
      <c r="B193" t="s">
        <v>709</v>
      </c>
      <c r="C193" t="s">
        <v>55</v>
      </c>
      <c r="D193" t="s">
        <v>507</v>
      </c>
      <c r="E193" t="s">
        <v>881</v>
      </c>
      <c r="F193" t="s">
        <v>509</v>
      </c>
      <c r="G193" t="s">
        <v>507</v>
      </c>
      <c r="H193" s="1">
        <v>19820.5</v>
      </c>
      <c r="I193" s="1" t="s">
        <v>665</v>
      </c>
      <c r="J193" s="1">
        <v>16720</v>
      </c>
      <c r="K193" s="1">
        <v>11892</v>
      </c>
      <c r="L193" s="1">
        <v>11877.033933405988</v>
      </c>
      <c r="M193" s="1">
        <v>7906.8865511834128</v>
      </c>
      <c r="N193" s="1">
        <v>7928</v>
      </c>
      <c r="O193" s="1">
        <v>8859.8153931280249</v>
      </c>
      <c r="P193" s="1">
        <v>544</v>
      </c>
      <c r="Q193" s="1">
        <v>31713</v>
      </c>
      <c r="R193" s="1">
        <v>31001.294871794875</v>
      </c>
      <c r="S193" s="1">
        <v>6393.2000000000007</v>
      </c>
      <c r="T193" s="1">
        <v>16355</v>
      </c>
      <c r="U193" s="1">
        <v>39501</v>
      </c>
      <c r="V193" s="3">
        <f>_xlfn.XLOOKUP(Table2[[#This Row],[admin3Pcode]],'Inter-sector dataset'!F:F,'Inter-sector dataset'!Q:Q)</f>
        <v>0</v>
      </c>
      <c r="W193" s="3">
        <f>_xlfn.XLOOKUP(Table2[[#This Row],[admin3Pcode]],'Inter-sector dataset'!F:F,'Inter-sector dataset'!R:R)</f>
        <v>0</v>
      </c>
      <c r="X193" s="1">
        <f>IFERROR(Table2[[#This Row],[Health_PIN]]*$V193,)</f>
        <v>0</v>
      </c>
      <c r="Y193" s="1">
        <f>IFERROR(Table2[[#This Row],[CCCM_PIN]]*$V193,)</f>
        <v>0</v>
      </c>
      <c r="Z193" s="1">
        <f>IFERROR(Table2[[#This Row],[ERL_PIN]]*$V193,)</f>
        <v>0</v>
      </c>
      <c r="AA193" s="1">
        <f>IFERROR(Table2[[#This Row],[NFI_PIN]]*$V193,)</f>
        <v>0</v>
      </c>
      <c r="AB193" s="1">
        <f>IFERROR(Table2[[#This Row],[Nutrition_PIN]]*$V193,)</f>
        <v>0</v>
      </c>
      <c r="AC193" s="1">
        <f>IFERROR(Table2[[#This Row],[Education_PIN]]*$V193,)</f>
        <v>0</v>
      </c>
      <c r="AD193" s="1">
        <f>IFERROR(Table2[[#This Row],[Shelter_PIN]]*$V193,)</f>
        <v>0</v>
      </c>
      <c r="AE193" s="1">
        <f>IFERROR(Table2[[#This Row],[WASH_PIN]]*$V193,)</f>
        <v>0</v>
      </c>
      <c r="AF193" s="1">
        <f>IFERROR(Table2[[#This Row],[WASH_acute_PIN]]*$V193,)</f>
        <v>0</v>
      </c>
      <c r="AG193" s="1">
        <f>IFERROR(Table2[[#This Row],[Protection_PIN]]*$V193,)</f>
        <v>0</v>
      </c>
      <c r="AH193" s="1">
        <f>IFERROR(Table2[[#This Row],[Food_PIN]]*$V193,)</f>
        <v>0</v>
      </c>
      <c r="AI193" s="1">
        <f>IFERROR(Table2[[#This Row],[Protection_CP_PIN]]*$V193,)</f>
        <v>0</v>
      </c>
      <c r="AJ193" s="1">
        <f>IFERROR(Table2[[#This Row],[Protection_GBV_PIN]]*$V193,)</f>
        <v>0</v>
      </c>
      <c r="AK193" s="1">
        <f>IFERROR(Table2[[#This Row],[Protection_MA_PIN]]*$V193,)</f>
        <v>0</v>
      </c>
      <c r="AL193" s="1">
        <f>IFERROR(Table2[[#This Row],[Health_PIN]]*$W193,)</f>
        <v>0</v>
      </c>
      <c r="AM193" s="1">
        <f>IFERROR(Table2[[#This Row],[CCCM_PIN]]*$W193,)</f>
        <v>0</v>
      </c>
      <c r="AN193" s="1">
        <f>IFERROR(Table2[[#This Row],[ERL_PIN]]*$W193,)</f>
        <v>0</v>
      </c>
      <c r="AO193" s="1">
        <f>IFERROR(Table2[[#This Row],[NFI_PIN]]*$W193,)</f>
        <v>0</v>
      </c>
      <c r="AP193" s="1">
        <f>IFERROR(Table2[[#This Row],[Nutrition_PIN]]*$W193,)</f>
        <v>0</v>
      </c>
      <c r="AQ193" s="1">
        <f>IFERROR(Table2[[#This Row],[Education_PIN]]*$W193,)</f>
        <v>0</v>
      </c>
      <c r="AR193" s="1">
        <f>IFERROR(Table2[[#This Row],[Shelter_PIN]]*$W193,)</f>
        <v>0</v>
      </c>
      <c r="AS193" s="1">
        <f>IFERROR(Table2[[#This Row],[WASH_PIN]]*$W193,)</f>
        <v>0</v>
      </c>
      <c r="AT193" s="1">
        <f>IFERROR(Table2[[#This Row],[WASH_acute_PIN]]*$W193,)</f>
        <v>0</v>
      </c>
      <c r="AU193" s="1">
        <f>IFERROR(Table2[[#This Row],[Protection_PIN]]*$W193,)</f>
        <v>0</v>
      </c>
      <c r="AV193" s="1">
        <f>IFERROR(Table2[[#This Row],[Food_PIN]]*$W193,)</f>
        <v>0</v>
      </c>
      <c r="AW193" s="1">
        <f>IFERROR(Table2[[#This Row],[Protection_CP_PIN]]*$W193,)</f>
        <v>0</v>
      </c>
      <c r="AX193" s="1">
        <f>IFERROR(Table2[[#This Row],[Protection_GBV_PIN]]*$W193,)</f>
        <v>0</v>
      </c>
      <c r="AY193" s="1">
        <f>IFERROR(Table2[[#This Row],[Protection_MA_PIN]]*$W193,)</f>
        <v>0</v>
      </c>
      <c r="AZ193" s="1">
        <v>2</v>
      </c>
      <c r="BA193" s="1">
        <v>4</v>
      </c>
      <c r="BB193" s="1">
        <v>4</v>
      </c>
      <c r="BC193" s="1">
        <v>3</v>
      </c>
      <c r="BD193" s="1">
        <v>3</v>
      </c>
      <c r="BE193" s="1">
        <v>3</v>
      </c>
      <c r="BF193" s="1">
        <v>4</v>
      </c>
      <c r="BG193" s="1">
        <v>3</v>
      </c>
      <c r="BH193" s="1">
        <v>4</v>
      </c>
      <c r="BI193" s="1">
        <v>4</v>
      </c>
      <c r="BJ193" s="1">
        <v>4</v>
      </c>
      <c r="BK193" s="1" t="s">
        <v>665</v>
      </c>
      <c r="BL193" s="1">
        <v>2</v>
      </c>
    </row>
    <row r="194" spans="1:64" x14ac:dyDescent="0.35">
      <c r="A194" t="s">
        <v>28</v>
      </c>
      <c r="B194" t="s">
        <v>761</v>
      </c>
      <c r="C194" t="s">
        <v>29</v>
      </c>
      <c r="D194" t="s">
        <v>82</v>
      </c>
      <c r="E194" t="s">
        <v>882</v>
      </c>
      <c r="F194" t="s">
        <v>83</v>
      </c>
      <c r="G194" t="s">
        <v>82</v>
      </c>
      <c r="H194" s="1">
        <v>29869.5</v>
      </c>
      <c r="I194" s="1" t="s">
        <v>665</v>
      </c>
      <c r="J194" s="1">
        <v>39444</v>
      </c>
      <c r="K194" s="1">
        <v>7965</v>
      </c>
      <c r="L194" s="1">
        <v>16154.328703197878</v>
      </c>
      <c r="M194" s="1">
        <v>3914.8233209566342</v>
      </c>
      <c r="N194" s="1">
        <v>7965</v>
      </c>
      <c r="O194" s="1">
        <v>34964.745403761357</v>
      </c>
      <c r="P194" s="1">
        <v>13288</v>
      </c>
      <c r="Q194" s="1">
        <v>31861</v>
      </c>
      <c r="R194" s="1">
        <v>18806.722222222223</v>
      </c>
      <c r="S194" s="1">
        <v>9178</v>
      </c>
      <c r="T194" s="1">
        <v>10820</v>
      </c>
      <c r="U194" s="1">
        <v>39826</v>
      </c>
      <c r="V194" s="3">
        <f>_xlfn.XLOOKUP(Table2[[#This Row],[admin3Pcode]],'Inter-sector dataset'!F:F,'Inter-sector dataset'!Q:Q)</f>
        <v>0</v>
      </c>
      <c r="W194" s="3">
        <f>_xlfn.XLOOKUP(Table2[[#This Row],[admin3Pcode]],'Inter-sector dataset'!F:F,'Inter-sector dataset'!R:R)</f>
        <v>0</v>
      </c>
      <c r="X194" s="1">
        <f>IFERROR(Table2[[#This Row],[Health_PIN]]*$V194,)</f>
        <v>0</v>
      </c>
      <c r="Y194" s="1">
        <f>IFERROR(Table2[[#This Row],[CCCM_PIN]]*$V194,)</f>
        <v>0</v>
      </c>
      <c r="Z194" s="1">
        <f>IFERROR(Table2[[#This Row],[ERL_PIN]]*$V194,)</f>
        <v>0</v>
      </c>
      <c r="AA194" s="1">
        <f>IFERROR(Table2[[#This Row],[NFI_PIN]]*$V194,)</f>
        <v>0</v>
      </c>
      <c r="AB194" s="1">
        <f>IFERROR(Table2[[#This Row],[Nutrition_PIN]]*$V194,)</f>
        <v>0</v>
      </c>
      <c r="AC194" s="1">
        <f>IFERROR(Table2[[#This Row],[Education_PIN]]*$V194,)</f>
        <v>0</v>
      </c>
      <c r="AD194" s="1">
        <f>IFERROR(Table2[[#This Row],[Shelter_PIN]]*$V194,)</f>
        <v>0</v>
      </c>
      <c r="AE194" s="1">
        <f>IFERROR(Table2[[#This Row],[WASH_PIN]]*$V194,)</f>
        <v>0</v>
      </c>
      <c r="AF194" s="1">
        <f>IFERROR(Table2[[#This Row],[WASH_acute_PIN]]*$V194,)</f>
        <v>0</v>
      </c>
      <c r="AG194" s="1">
        <f>IFERROR(Table2[[#This Row],[Protection_PIN]]*$V194,)</f>
        <v>0</v>
      </c>
      <c r="AH194" s="1">
        <f>IFERROR(Table2[[#This Row],[Food_PIN]]*$V194,)</f>
        <v>0</v>
      </c>
      <c r="AI194" s="1">
        <f>IFERROR(Table2[[#This Row],[Protection_CP_PIN]]*$V194,)</f>
        <v>0</v>
      </c>
      <c r="AJ194" s="1">
        <f>IFERROR(Table2[[#This Row],[Protection_GBV_PIN]]*$V194,)</f>
        <v>0</v>
      </c>
      <c r="AK194" s="1">
        <f>IFERROR(Table2[[#This Row],[Protection_MA_PIN]]*$V194,)</f>
        <v>0</v>
      </c>
      <c r="AL194" s="1">
        <f>IFERROR(Table2[[#This Row],[Health_PIN]]*$W194,)</f>
        <v>0</v>
      </c>
      <c r="AM194" s="1">
        <f>IFERROR(Table2[[#This Row],[CCCM_PIN]]*$W194,)</f>
        <v>0</v>
      </c>
      <c r="AN194" s="1">
        <f>IFERROR(Table2[[#This Row],[ERL_PIN]]*$W194,)</f>
        <v>0</v>
      </c>
      <c r="AO194" s="1">
        <f>IFERROR(Table2[[#This Row],[NFI_PIN]]*$W194,)</f>
        <v>0</v>
      </c>
      <c r="AP194" s="1">
        <f>IFERROR(Table2[[#This Row],[Nutrition_PIN]]*$W194,)</f>
        <v>0</v>
      </c>
      <c r="AQ194" s="1">
        <f>IFERROR(Table2[[#This Row],[Education_PIN]]*$W194,)</f>
        <v>0</v>
      </c>
      <c r="AR194" s="1">
        <f>IFERROR(Table2[[#This Row],[Shelter_PIN]]*$W194,)</f>
        <v>0</v>
      </c>
      <c r="AS194" s="1">
        <f>IFERROR(Table2[[#This Row],[WASH_PIN]]*$W194,)</f>
        <v>0</v>
      </c>
      <c r="AT194" s="1">
        <f>IFERROR(Table2[[#This Row],[WASH_acute_PIN]]*$W194,)</f>
        <v>0</v>
      </c>
      <c r="AU194" s="1">
        <f>IFERROR(Table2[[#This Row],[Protection_PIN]]*$W194,)</f>
        <v>0</v>
      </c>
      <c r="AV194" s="1">
        <f>IFERROR(Table2[[#This Row],[Food_PIN]]*$W194,)</f>
        <v>0</v>
      </c>
      <c r="AW194" s="1">
        <f>IFERROR(Table2[[#This Row],[Protection_CP_PIN]]*$W194,)</f>
        <v>0</v>
      </c>
      <c r="AX194" s="1">
        <f>IFERROR(Table2[[#This Row],[Protection_GBV_PIN]]*$W194,)</f>
        <v>0</v>
      </c>
      <c r="AY194" s="1">
        <f>IFERROR(Table2[[#This Row],[Protection_MA_PIN]]*$W194,)</f>
        <v>0</v>
      </c>
      <c r="AZ194" s="1">
        <v>2</v>
      </c>
      <c r="BA194" s="1">
        <v>3</v>
      </c>
      <c r="BB194" s="1">
        <v>4</v>
      </c>
      <c r="BC194" s="1">
        <v>2</v>
      </c>
      <c r="BD194" s="1">
        <v>3</v>
      </c>
      <c r="BE194" s="1">
        <v>4</v>
      </c>
      <c r="BF194" s="1">
        <v>4</v>
      </c>
      <c r="BG194" s="1">
        <v>3</v>
      </c>
      <c r="BH194" s="1">
        <v>3</v>
      </c>
      <c r="BI194" s="1">
        <v>4</v>
      </c>
      <c r="BJ194" s="1">
        <v>3</v>
      </c>
      <c r="BK194" s="1" t="s">
        <v>665</v>
      </c>
      <c r="BL194" s="1">
        <v>4</v>
      </c>
    </row>
    <row r="195" spans="1:64" x14ac:dyDescent="0.35">
      <c r="A195" t="s">
        <v>168</v>
      </c>
      <c r="B195" t="s">
        <v>681</v>
      </c>
      <c r="C195" t="s">
        <v>169</v>
      </c>
      <c r="D195" t="s">
        <v>237</v>
      </c>
      <c r="E195" t="s">
        <v>883</v>
      </c>
      <c r="F195" t="s">
        <v>489</v>
      </c>
      <c r="G195" t="s">
        <v>237</v>
      </c>
      <c r="H195" s="1">
        <v>20031.5</v>
      </c>
      <c r="I195" s="1" t="s">
        <v>665</v>
      </c>
      <c r="J195" s="1">
        <v>28807</v>
      </c>
      <c r="K195" s="1">
        <v>8020</v>
      </c>
      <c r="L195" s="1">
        <v>8302.2806690238085</v>
      </c>
      <c r="M195" s="1">
        <v>7204.8635490084544</v>
      </c>
      <c r="N195" s="1">
        <v>2490</v>
      </c>
      <c r="O195" s="1">
        <v>21338.041450625828</v>
      </c>
      <c r="P195" s="1">
        <v>2888</v>
      </c>
      <c r="Q195" s="1">
        <v>32050</v>
      </c>
      <c r="R195" s="1">
        <v>25494.63636363636</v>
      </c>
      <c r="S195" s="1">
        <v>11993.4</v>
      </c>
      <c r="T195" s="1">
        <v>16104</v>
      </c>
      <c r="U195" s="1">
        <v>22610</v>
      </c>
      <c r="V195" s="3">
        <f>_xlfn.XLOOKUP(Table2[[#This Row],[admin3Pcode]],'Inter-sector dataset'!F:F,'Inter-sector dataset'!Q:Q)</f>
        <v>0</v>
      </c>
      <c r="W195" s="3">
        <f>_xlfn.XLOOKUP(Table2[[#This Row],[admin3Pcode]],'Inter-sector dataset'!F:F,'Inter-sector dataset'!R:R)</f>
        <v>0</v>
      </c>
      <c r="X195" s="1">
        <f>IFERROR(Table2[[#This Row],[Health_PIN]]*$V195,)</f>
        <v>0</v>
      </c>
      <c r="Y195" s="1">
        <f>IFERROR(Table2[[#This Row],[CCCM_PIN]]*$V195,)</f>
        <v>0</v>
      </c>
      <c r="Z195" s="1">
        <f>IFERROR(Table2[[#This Row],[ERL_PIN]]*$V195,)</f>
        <v>0</v>
      </c>
      <c r="AA195" s="1">
        <f>IFERROR(Table2[[#This Row],[NFI_PIN]]*$V195,)</f>
        <v>0</v>
      </c>
      <c r="AB195" s="1">
        <f>IFERROR(Table2[[#This Row],[Nutrition_PIN]]*$V195,)</f>
        <v>0</v>
      </c>
      <c r="AC195" s="1">
        <f>IFERROR(Table2[[#This Row],[Education_PIN]]*$V195,)</f>
        <v>0</v>
      </c>
      <c r="AD195" s="1">
        <f>IFERROR(Table2[[#This Row],[Shelter_PIN]]*$V195,)</f>
        <v>0</v>
      </c>
      <c r="AE195" s="1">
        <f>IFERROR(Table2[[#This Row],[WASH_PIN]]*$V195,)</f>
        <v>0</v>
      </c>
      <c r="AF195" s="1">
        <f>IFERROR(Table2[[#This Row],[WASH_acute_PIN]]*$V195,)</f>
        <v>0</v>
      </c>
      <c r="AG195" s="1">
        <f>IFERROR(Table2[[#This Row],[Protection_PIN]]*$V195,)</f>
        <v>0</v>
      </c>
      <c r="AH195" s="1">
        <f>IFERROR(Table2[[#This Row],[Food_PIN]]*$V195,)</f>
        <v>0</v>
      </c>
      <c r="AI195" s="1">
        <f>IFERROR(Table2[[#This Row],[Protection_CP_PIN]]*$V195,)</f>
        <v>0</v>
      </c>
      <c r="AJ195" s="1">
        <f>IFERROR(Table2[[#This Row],[Protection_GBV_PIN]]*$V195,)</f>
        <v>0</v>
      </c>
      <c r="AK195" s="1">
        <f>IFERROR(Table2[[#This Row],[Protection_MA_PIN]]*$V195,)</f>
        <v>0</v>
      </c>
      <c r="AL195" s="1">
        <f>IFERROR(Table2[[#This Row],[Health_PIN]]*$W195,)</f>
        <v>0</v>
      </c>
      <c r="AM195" s="1">
        <f>IFERROR(Table2[[#This Row],[CCCM_PIN]]*$W195,)</f>
        <v>0</v>
      </c>
      <c r="AN195" s="1">
        <f>IFERROR(Table2[[#This Row],[ERL_PIN]]*$W195,)</f>
        <v>0</v>
      </c>
      <c r="AO195" s="1">
        <f>IFERROR(Table2[[#This Row],[NFI_PIN]]*$W195,)</f>
        <v>0</v>
      </c>
      <c r="AP195" s="1">
        <f>IFERROR(Table2[[#This Row],[Nutrition_PIN]]*$W195,)</f>
        <v>0</v>
      </c>
      <c r="AQ195" s="1">
        <f>IFERROR(Table2[[#This Row],[Education_PIN]]*$W195,)</f>
        <v>0</v>
      </c>
      <c r="AR195" s="1">
        <f>IFERROR(Table2[[#This Row],[Shelter_PIN]]*$W195,)</f>
        <v>0</v>
      </c>
      <c r="AS195" s="1">
        <f>IFERROR(Table2[[#This Row],[WASH_PIN]]*$W195,)</f>
        <v>0</v>
      </c>
      <c r="AT195" s="1">
        <f>IFERROR(Table2[[#This Row],[WASH_acute_PIN]]*$W195,)</f>
        <v>0</v>
      </c>
      <c r="AU195" s="1">
        <f>IFERROR(Table2[[#This Row],[Protection_PIN]]*$W195,)</f>
        <v>0</v>
      </c>
      <c r="AV195" s="1">
        <f>IFERROR(Table2[[#This Row],[Food_PIN]]*$W195,)</f>
        <v>0</v>
      </c>
      <c r="AW195" s="1">
        <f>IFERROR(Table2[[#This Row],[Protection_CP_PIN]]*$W195,)</f>
        <v>0</v>
      </c>
      <c r="AX195" s="1">
        <f>IFERROR(Table2[[#This Row],[Protection_GBV_PIN]]*$W195,)</f>
        <v>0</v>
      </c>
      <c r="AY195" s="1">
        <f>IFERROR(Table2[[#This Row],[Protection_MA_PIN]]*$W195,)</f>
        <v>0</v>
      </c>
      <c r="AZ195" s="1">
        <v>3</v>
      </c>
      <c r="BA195" s="1">
        <v>3</v>
      </c>
      <c r="BB195" s="1">
        <v>4</v>
      </c>
      <c r="BC195" s="1">
        <v>3</v>
      </c>
      <c r="BD195" s="1">
        <v>3</v>
      </c>
      <c r="BE195" s="1">
        <v>3</v>
      </c>
      <c r="BF195" s="1">
        <v>4</v>
      </c>
      <c r="BG195" s="1">
        <v>4</v>
      </c>
      <c r="BH195" s="1">
        <v>4</v>
      </c>
      <c r="BI195" s="1">
        <v>4</v>
      </c>
      <c r="BJ195" s="1">
        <v>3</v>
      </c>
      <c r="BK195" s="1" t="s">
        <v>665</v>
      </c>
      <c r="BL195" s="1">
        <v>3</v>
      </c>
    </row>
    <row r="196" spans="1:64" x14ac:dyDescent="0.35">
      <c r="A196" t="s">
        <v>28</v>
      </c>
      <c r="B196" t="s">
        <v>761</v>
      </c>
      <c r="C196" t="s">
        <v>29</v>
      </c>
      <c r="D196" t="s">
        <v>292</v>
      </c>
      <c r="E196" t="s">
        <v>884</v>
      </c>
      <c r="F196" t="s">
        <v>293</v>
      </c>
      <c r="G196" t="s">
        <v>292</v>
      </c>
      <c r="H196" s="1">
        <v>31217.25</v>
      </c>
      <c r="I196" s="1" t="s">
        <v>665</v>
      </c>
      <c r="J196" s="1">
        <v>33307</v>
      </c>
      <c r="K196" s="1">
        <v>8325</v>
      </c>
      <c r="L196" s="1">
        <v>12285.270463309766</v>
      </c>
      <c r="M196" s="1">
        <v>18969.933333333338</v>
      </c>
      <c r="N196" s="1">
        <v>8879</v>
      </c>
      <c r="O196" s="1">
        <v>39098.304238960285</v>
      </c>
      <c r="P196" s="1">
        <v>29952</v>
      </c>
      <c r="Q196" s="1">
        <v>33298</v>
      </c>
      <c r="R196" s="1">
        <v>26361.23333333333</v>
      </c>
      <c r="S196" s="1">
        <v>18434.2</v>
      </c>
      <c r="T196" s="1">
        <v>23315</v>
      </c>
      <c r="U196" s="1">
        <v>40828</v>
      </c>
      <c r="V196" s="3">
        <f>_xlfn.XLOOKUP(Table2[[#This Row],[admin3Pcode]],'Inter-sector dataset'!F:F,'Inter-sector dataset'!Q:Q)</f>
        <v>0</v>
      </c>
      <c r="W196" s="3">
        <f>_xlfn.XLOOKUP(Table2[[#This Row],[admin3Pcode]],'Inter-sector dataset'!F:F,'Inter-sector dataset'!R:R)</f>
        <v>0</v>
      </c>
      <c r="X196" s="1">
        <f>IFERROR(Table2[[#This Row],[Health_PIN]]*$V196,)</f>
        <v>0</v>
      </c>
      <c r="Y196" s="1">
        <f>IFERROR(Table2[[#This Row],[CCCM_PIN]]*$V196,)</f>
        <v>0</v>
      </c>
      <c r="Z196" s="1">
        <f>IFERROR(Table2[[#This Row],[ERL_PIN]]*$V196,)</f>
        <v>0</v>
      </c>
      <c r="AA196" s="1">
        <f>IFERROR(Table2[[#This Row],[NFI_PIN]]*$V196,)</f>
        <v>0</v>
      </c>
      <c r="AB196" s="1">
        <f>IFERROR(Table2[[#This Row],[Nutrition_PIN]]*$V196,)</f>
        <v>0</v>
      </c>
      <c r="AC196" s="1">
        <f>IFERROR(Table2[[#This Row],[Education_PIN]]*$V196,)</f>
        <v>0</v>
      </c>
      <c r="AD196" s="1">
        <f>IFERROR(Table2[[#This Row],[Shelter_PIN]]*$V196,)</f>
        <v>0</v>
      </c>
      <c r="AE196" s="1">
        <f>IFERROR(Table2[[#This Row],[WASH_PIN]]*$V196,)</f>
        <v>0</v>
      </c>
      <c r="AF196" s="1">
        <f>IFERROR(Table2[[#This Row],[WASH_acute_PIN]]*$V196,)</f>
        <v>0</v>
      </c>
      <c r="AG196" s="1">
        <f>IFERROR(Table2[[#This Row],[Protection_PIN]]*$V196,)</f>
        <v>0</v>
      </c>
      <c r="AH196" s="1">
        <f>IFERROR(Table2[[#This Row],[Food_PIN]]*$V196,)</f>
        <v>0</v>
      </c>
      <c r="AI196" s="1">
        <f>IFERROR(Table2[[#This Row],[Protection_CP_PIN]]*$V196,)</f>
        <v>0</v>
      </c>
      <c r="AJ196" s="1">
        <f>IFERROR(Table2[[#This Row],[Protection_GBV_PIN]]*$V196,)</f>
        <v>0</v>
      </c>
      <c r="AK196" s="1">
        <f>IFERROR(Table2[[#This Row],[Protection_MA_PIN]]*$V196,)</f>
        <v>0</v>
      </c>
      <c r="AL196" s="1">
        <f>IFERROR(Table2[[#This Row],[Health_PIN]]*$W196,)</f>
        <v>0</v>
      </c>
      <c r="AM196" s="1">
        <f>IFERROR(Table2[[#This Row],[CCCM_PIN]]*$W196,)</f>
        <v>0</v>
      </c>
      <c r="AN196" s="1">
        <f>IFERROR(Table2[[#This Row],[ERL_PIN]]*$W196,)</f>
        <v>0</v>
      </c>
      <c r="AO196" s="1">
        <f>IFERROR(Table2[[#This Row],[NFI_PIN]]*$W196,)</f>
        <v>0</v>
      </c>
      <c r="AP196" s="1">
        <f>IFERROR(Table2[[#This Row],[Nutrition_PIN]]*$W196,)</f>
        <v>0</v>
      </c>
      <c r="AQ196" s="1">
        <f>IFERROR(Table2[[#This Row],[Education_PIN]]*$W196,)</f>
        <v>0</v>
      </c>
      <c r="AR196" s="1">
        <f>IFERROR(Table2[[#This Row],[Shelter_PIN]]*$W196,)</f>
        <v>0</v>
      </c>
      <c r="AS196" s="1">
        <f>IFERROR(Table2[[#This Row],[WASH_PIN]]*$W196,)</f>
        <v>0</v>
      </c>
      <c r="AT196" s="1">
        <f>IFERROR(Table2[[#This Row],[WASH_acute_PIN]]*$W196,)</f>
        <v>0</v>
      </c>
      <c r="AU196" s="1">
        <f>IFERROR(Table2[[#This Row],[Protection_PIN]]*$W196,)</f>
        <v>0</v>
      </c>
      <c r="AV196" s="1">
        <f>IFERROR(Table2[[#This Row],[Food_PIN]]*$W196,)</f>
        <v>0</v>
      </c>
      <c r="AW196" s="1">
        <f>IFERROR(Table2[[#This Row],[Protection_CP_PIN]]*$W196,)</f>
        <v>0</v>
      </c>
      <c r="AX196" s="1">
        <f>IFERROR(Table2[[#This Row],[Protection_GBV_PIN]]*$W196,)</f>
        <v>0</v>
      </c>
      <c r="AY196" s="1">
        <f>IFERROR(Table2[[#This Row],[Protection_MA_PIN]]*$W196,)</f>
        <v>0</v>
      </c>
      <c r="AZ196" s="1">
        <v>3</v>
      </c>
      <c r="BA196" s="1">
        <v>4</v>
      </c>
      <c r="BB196" s="1">
        <v>4</v>
      </c>
      <c r="BC196" s="1">
        <v>2</v>
      </c>
      <c r="BD196" s="1">
        <v>3</v>
      </c>
      <c r="BE196" s="1">
        <v>4</v>
      </c>
      <c r="BF196" s="1">
        <v>4</v>
      </c>
      <c r="BG196" s="1">
        <v>5</v>
      </c>
      <c r="BH196" s="1">
        <v>5</v>
      </c>
      <c r="BI196" s="1">
        <v>4</v>
      </c>
      <c r="BJ196" s="1">
        <v>3</v>
      </c>
      <c r="BK196" s="1" t="s">
        <v>665</v>
      </c>
      <c r="BL196" s="1">
        <v>4</v>
      </c>
    </row>
    <row r="197" spans="1:64" x14ac:dyDescent="0.35">
      <c r="A197" t="s">
        <v>54</v>
      </c>
      <c r="B197" t="s">
        <v>709</v>
      </c>
      <c r="C197" t="s">
        <v>55</v>
      </c>
      <c r="D197" t="s">
        <v>130</v>
      </c>
      <c r="E197" t="s">
        <v>885</v>
      </c>
      <c r="F197" t="s">
        <v>131</v>
      </c>
      <c r="G197" t="s">
        <v>130</v>
      </c>
      <c r="H197" s="1">
        <v>31392.75</v>
      </c>
      <c r="I197" s="1" t="s">
        <v>665</v>
      </c>
      <c r="J197" s="1">
        <v>3995</v>
      </c>
      <c r="K197" s="1">
        <v>33486</v>
      </c>
      <c r="L197" s="1">
        <v>11848.645131525072</v>
      </c>
      <c r="M197" s="1">
        <v>15372.9</v>
      </c>
      <c r="N197" s="1">
        <v>23168</v>
      </c>
      <c r="O197" s="1">
        <v>16862.417776075228</v>
      </c>
      <c r="P197" s="1">
        <v>490</v>
      </c>
      <c r="Q197" s="1">
        <v>33486</v>
      </c>
      <c r="R197" s="1">
        <v>10882.82</v>
      </c>
      <c r="S197" s="1">
        <v>14958</v>
      </c>
      <c r="T197" s="1">
        <v>17782</v>
      </c>
      <c r="U197" s="1">
        <v>41857</v>
      </c>
      <c r="V197" s="3">
        <f>_xlfn.XLOOKUP(Table2[[#This Row],[admin3Pcode]],'Inter-sector dataset'!F:F,'Inter-sector dataset'!Q:Q)</f>
        <v>0.09</v>
      </c>
      <c r="W197" s="3">
        <f>_xlfn.XLOOKUP(Table2[[#This Row],[admin3Pcode]],'Inter-sector dataset'!F:F,'Inter-sector dataset'!R:R)</f>
        <v>0</v>
      </c>
      <c r="X197" s="1">
        <f>IFERROR(Table2[[#This Row],[Health_PIN]]*$V197,)</f>
        <v>2825.3474999999999</v>
      </c>
      <c r="Y197" s="1">
        <f>IFERROR(Table2[[#This Row],[CCCM_PIN]]*$V197,)</f>
        <v>0</v>
      </c>
      <c r="Z197" s="1">
        <f>IFERROR(Table2[[#This Row],[ERL_PIN]]*$V197,)</f>
        <v>359.55</v>
      </c>
      <c r="AA197" s="1">
        <f>IFERROR(Table2[[#This Row],[NFI_PIN]]*$V197,)</f>
        <v>3013.74</v>
      </c>
      <c r="AB197" s="1">
        <f>IFERROR(Table2[[#This Row],[Nutrition_PIN]]*$V197,)</f>
        <v>1066.3780618372564</v>
      </c>
      <c r="AC197" s="1">
        <f>IFERROR(Table2[[#This Row],[Education_PIN]]*$V197,)</f>
        <v>1383.5609999999999</v>
      </c>
      <c r="AD197" s="1">
        <f>IFERROR(Table2[[#This Row],[Shelter_PIN]]*$V197,)</f>
        <v>2085.12</v>
      </c>
      <c r="AE197" s="1">
        <f>IFERROR(Table2[[#This Row],[WASH_PIN]]*$V197,)</f>
        <v>1517.6175998467704</v>
      </c>
      <c r="AF197" s="1">
        <f>IFERROR(Table2[[#This Row],[WASH_acute_PIN]]*$V197,)</f>
        <v>44.1</v>
      </c>
      <c r="AG197" s="1">
        <f>IFERROR(Table2[[#This Row],[Protection_PIN]]*$V197,)</f>
        <v>3013.74</v>
      </c>
      <c r="AH197" s="1">
        <f>IFERROR(Table2[[#This Row],[Food_PIN]]*$V197,)</f>
        <v>979.45379999999989</v>
      </c>
      <c r="AI197" s="1">
        <f>IFERROR(Table2[[#This Row],[Protection_CP_PIN]]*$V197,)</f>
        <v>1346.22</v>
      </c>
      <c r="AJ197" s="1">
        <f>IFERROR(Table2[[#This Row],[Protection_GBV_PIN]]*$V197,)</f>
        <v>1600.3799999999999</v>
      </c>
      <c r="AK197" s="1">
        <f>IFERROR(Table2[[#This Row],[Protection_MA_PIN]]*$V197,)</f>
        <v>3767.1299999999997</v>
      </c>
      <c r="AL197" s="1">
        <f>IFERROR(Table2[[#This Row],[Health_PIN]]*$W197,)</f>
        <v>0</v>
      </c>
      <c r="AM197" s="1">
        <f>IFERROR(Table2[[#This Row],[CCCM_PIN]]*$W197,)</f>
        <v>0</v>
      </c>
      <c r="AN197" s="1">
        <f>IFERROR(Table2[[#This Row],[ERL_PIN]]*$W197,)</f>
        <v>0</v>
      </c>
      <c r="AO197" s="1">
        <f>IFERROR(Table2[[#This Row],[NFI_PIN]]*$W197,)</f>
        <v>0</v>
      </c>
      <c r="AP197" s="1">
        <f>IFERROR(Table2[[#This Row],[Nutrition_PIN]]*$W197,)</f>
        <v>0</v>
      </c>
      <c r="AQ197" s="1">
        <f>IFERROR(Table2[[#This Row],[Education_PIN]]*$W197,)</f>
        <v>0</v>
      </c>
      <c r="AR197" s="1">
        <f>IFERROR(Table2[[#This Row],[Shelter_PIN]]*$W197,)</f>
        <v>0</v>
      </c>
      <c r="AS197" s="1">
        <f>IFERROR(Table2[[#This Row],[WASH_PIN]]*$W197,)</f>
        <v>0</v>
      </c>
      <c r="AT197" s="1">
        <f>IFERROR(Table2[[#This Row],[WASH_acute_PIN]]*$W197,)</f>
        <v>0</v>
      </c>
      <c r="AU197" s="1">
        <f>IFERROR(Table2[[#This Row],[Protection_PIN]]*$W197,)</f>
        <v>0</v>
      </c>
      <c r="AV197" s="1">
        <f>IFERROR(Table2[[#This Row],[Food_PIN]]*$W197,)</f>
        <v>0</v>
      </c>
      <c r="AW197" s="1">
        <f>IFERROR(Table2[[#This Row],[Protection_CP_PIN]]*$W197,)</f>
        <v>0</v>
      </c>
      <c r="AX197" s="1">
        <f>IFERROR(Table2[[#This Row],[Protection_GBV_PIN]]*$W197,)</f>
        <v>0</v>
      </c>
      <c r="AY197" s="1">
        <f>IFERROR(Table2[[#This Row],[Protection_MA_PIN]]*$W197,)</f>
        <v>0</v>
      </c>
      <c r="AZ197" s="1">
        <v>4</v>
      </c>
      <c r="BA197" s="1">
        <v>3</v>
      </c>
      <c r="BB197" s="1">
        <v>4</v>
      </c>
      <c r="BC197" s="1">
        <v>5</v>
      </c>
      <c r="BD197" s="1">
        <v>2</v>
      </c>
      <c r="BE197" s="1">
        <v>4</v>
      </c>
      <c r="BF197" s="1">
        <v>4</v>
      </c>
      <c r="BG197" s="1">
        <v>4</v>
      </c>
      <c r="BH197" s="1">
        <v>4</v>
      </c>
      <c r="BI197" s="1">
        <v>4</v>
      </c>
      <c r="BJ197" s="1">
        <v>3</v>
      </c>
      <c r="BK197" s="1" t="s">
        <v>665</v>
      </c>
      <c r="BL197" s="1">
        <v>3</v>
      </c>
    </row>
    <row r="198" spans="1:64" x14ac:dyDescent="0.35">
      <c r="A198" t="s">
        <v>28</v>
      </c>
      <c r="B198" t="s">
        <v>761</v>
      </c>
      <c r="C198" t="s">
        <v>29</v>
      </c>
      <c r="D198" t="s">
        <v>265</v>
      </c>
      <c r="E198" t="s">
        <v>886</v>
      </c>
      <c r="F198" t="s">
        <v>266</v>
      </c>
      <c r="G198" t="s">
        <v>265</v>
      </c>
      <c r="H198" s="1">
        <v>31965</v>
      </c>
      <c r="I198" s="1" t="s">
        <v>665</v>
      </c>
      <c r="J198" s="1">
        <v>39751</v>
      </c>
      <c r="K198" s="1">
        <v>11289</v>
      </c>
      <c r="L198" s="1">
        <v>12601.648629652027</v>
      </c>
      <c r="M198" s="1">
        <v>9023.0898319882072</v>
      </c>
      <c r="N198" s="1">
        <v>8524</v>
      </c>
      <c r="O198" s="1">
        <v>42620</v>
      </c>
      <c r="P198" s="1">
        <v>42620</v>
      </c>
      <c r="Q198" s="1">
        <v>34096</v>
      </c>
      <c r="R198" s="1">
        <v>27229.444444444445</v>
      </c>
      <c r="S198" s="1">
        <v>18970.400000000001</v>
      </c>
      <c r="T198" s="1">
        <v>12086</v>
      </c>
      <c r="U198" s="1">
        <v>42566</v>
      </c>
      <c r="V198" s="3">
        <f>_xlfn.XLOOKUP(Table2[[#This Row],[admin3Pcode]],'Inter-sector dataset'!F:F,'Inter-sector dataset'!Q:Q)</f>
        <v>0</v>
      </c>
      <c r="W198" s="3">
        <f>_xlfn.XLOOKUP(Table2[[#This Row],[admin3Pcode]],'Inter-sector dataset'!F:F,'Inter-sector dataset'!R:R)</f>
        <v>0</v>
      </c>
      <c r="X198" s="1">
        <f>IFERROR(Table2[[#This Row],[Health_PIN]]*$V198,)</f>
        <v>0</v>
      </c>
      <c r="Y198" s="1">
        <f>IFERROR(Table2[[#This Row],[CCCM_PIN]]*$V198,)</f>
        <v>0</v>
      </c>
      <c r="Z198" s="1">
        <f>IFERROR(Table2[[#This Row],[ERL_PIN]]*$V198,)</f>
        <v>0</v>
      </c>
      <c r="AA198" s="1">
        <f>IFERROR(Table2[[#This Row],[NFI_PIN]]*$V198,)</f>
        <v>0</v>
      </c>
      <c r="AB198" s="1">
        <f>IFERROR(Table2[[#This Row],[Nutrition_PIN]]*$V198,)</f>
        <v>0</v>
      </c>
      <c r="AC198" s="1">
        <f>IFERROR(Table2[[#This Row],[Education_PIN]]*$V198,)</f>
        <v>0</v>
      </c>
      <c r="AD198" s="1">
        <f>IFERROR(Table2[[#This Row],[Shelter_PIN]]*$V198,)</f>
        <v>0</v>
      </c>
      <c r="AE198" s="1">
        <f>IFERROR(Table2[[#This Row],[WASH_PIN]]*$V198,)</f>
        <v>0</v>
      </c>
      <c r="AF198" s="1">
        <f>IFERROR(Table2[[#This Row],[WASH_acute_PIN]]*$V198,)</f>
        <v>0</v>
      </c>
      <c r="AG198" s="1">
        <f>IFERROR(Table2[[#This Row],[Protection_PIN]]*$V198,)</f>
        <v>0</v>
      </c>
      <c r="AH198" s="1">
        <f>IFERROR(Table2[[#This Row],[Food_PIN]]*$V198,)</f>
        <v>0</v>
      </c>
      <c r="AI198" s="1">
        <f>IFERROR(Table2[[#This Row],[Protection_CP_PIN]]*$V198,)</f>
        <v>0</v>
      </c>
      <c r="AJ198" s="1">
        <f>IFERROR(Table2[[#This Row],[Protection_GBV_PIN]]*$V198,)</f>
        <v>0</v>
      </c>
      <c r="AK198" s="1">
        <f>IFERROR(Table2[[#This Row],[Protection_MA_PIN]]*$V198,)</f>
        <v>0</v>
      </c>
      <c r="AL198" s="1">
        <f>IFERROR(Table2[[#This Row],[Health_PIN]]*$W198,)</f>
        <v>0</v>
      </c>
      <c r="AM198" s="1">
        <f>IFERROR(Table2[[#This Row],[CCCM_PIN]]*$W198,)</f>
        <v>0</v>
      </c>
      <c r="AN198" s="1">
        <f>IFERROR(Table2[[#This Row],[ERL_PIN]]*$W198,)</f>
        <v>0</v>
      </c>
      <c r="AO198" s="1">
        <f>IFERROR(Table2[[#This Row],[NFI_PIN]]*$W198,)</f>
        <v>0</v>
      </c>
      <c r="AP198" s="1">
        <f>IFERROR(Table2[[#This Row],[Nutrition_PIN]]*$W198,)</f>
        <v>0</v>
      </c>
      <c r="AQ198" s="1">
        <f>IFERROR(Table2[[#This Row],[Education_PIN]]*$W198,)</f>
        <v>0</v>
      </c>
      <c r="AR198" s="1">
        <f>IFERROR(Table2[[#This Row],[Shelter_PIN]]*$W198,)</f>
        <v>0</v>
      </c>
      <c r="AS198" s="1">
        <f>IFERROR(Table2[[#This Row],[WASH_PIN]]*$W198,)</f>
        <v>0</v>
      </c>
      <c r="AT198" s="1">
        <f>IFERROR(Table2[[#This Row],[WASH_acute_PIN]]*$W198,)</f>
        <v>0</v>
      </c>
      <c r="AU198" s="1">
        <f>IFERROR(Table2[[#This Row],[Protection_PIN]]*$W198,)</f>
        <v>0</v>
      </c>
      <c r="AV198" s="1">
        <f>IFERROR(Table2[[#This Row],[Food_PIN]]*$W198,)</f>
        <v>0</v>
      </c>
      <c r="AW198" s="1">
        <f>IFERROR(Table2[[#This Row],[Protection_CP_PIN]]*$W198,)</f>
        <v>0</v>
      </c>
      <c r="AX198" s="1">
        <f>IFERROR(Table2[[#This Row],[Protection_GBV_PIN]]*$W198,)</f>
        <v>0</v>
      </c>
      <c r="AY198" s="1">
        <f>IFERROR(Table2[[#This Row],[Protection_MA_PIN]]*$W198,)</f>
        <v>0</v>
      </c>
      <c r="AZ198" s="1">
        <v>2</v>
      </c>
      <c r="BA198" s="1">
        <v>5</v>
      </c>
      <c r="BB198" s="1">
        <v>5</v>
      </c>
      <c r="BC198" s="1">
        <v>3</v>
      </c>
      <c r="BD198" s="1">
        <v>3</v>
      </c>
      <c r="BE198" s="1">
        <v>4</v>
      </c>
      <c r="BF198" s="1">
        <v>4</v>
      </c>
      <c r="BG198" s="1">
        <v>5</v>
      </c>
      <c r="BH198" s="1">
        <v>3</v>
      </c>
      <c r="BI198" s="1">
        <v>4</v>
      </c>
      <c r="BJ198" s="1">
        <v>4</v>
      </c>
      <c r="BK198" s="1" t="s">
        <v>665</v>
      </c>
      <c r="BL198" s="1">
        <v>5</v>
      </c>
    </row>
    <row r="199" spans="1:64" x14ac:dyDescent="0.35">
      <c r="A199" t="s">
        <v>184</v>
      </c>
      <c r="B199" t="s">
        <v>730</v>
      </c>
      <c r="C199" t="s">
        <v>185</v>
      </c>
      <c r="D199" t="s">
        <v>259</v>
      </c>
      <c r="E199" t="s">
        <v>887</v>
      </c>
      <c r="F199" t="s">
        <v>260</v>
      </c>
      <c r="G199" t="s">
        <v>259</v>
      </c>
      <c r="H199" s="1">
        <v>43064</v>
      </c>
      <c r="I199" s="1">
        <v>14738</v>
      </c>
      <c r="J199" s="1">
        <v>41398</v>
      </c>
      <c r="K199" s="1">
        <v>4851</v>
      </c>
      <c r="L199" s="1">
        <v>13144.062694988606</v>
      </c>
      <c r="M199" s="1">
        <v>21840.016666666666</v>
      </c>
      <c r="N199" s="1">
        <v>10160</v>
      </c>
      <c r="O199" s="1">
        <v>43064</v>
      </c>
      <c r="P199" s="1">
        <v>40988</v>
      </c>
      <c r="Q199" s="1">
        <v>34451</v>
      </c>
      <c r="R199" s="1">
        <v>30310.151260504201</v>
      </c>
      <c r="S199" s="1">
        <v>18535.5</v>
      </c>
      <c r="T199" s="1">
        <v>23649</v>
      </c>
      <c r="U199" s="1">
        <v>32969</v>
      </c>
      <c r="V199" s="3">
        <f>_xlfn.XLOOKUP(Table2[[#This Row],[admin3Pcode]],'Inter-sector dataset'!F:F,'Inter-sector dataset'!Q:Q)</f>
        <v>0</v>
      </c>
      <c r="W199" s="3">
        <f>_xlfn.XLOOKUP(Table2[[#This Row],[admin3Pcode]],'Inter-sector dataset'!F:F,'Inter-sector dataset'!R:R)</f>
        <v>0</v>
      </c>
      <c r="X199" s="1">
        <f>IFERROR(Table2[[#This Row],[Health_PIN]]*$V199,)</f>
        <v>0</v>
      </c>
      <c r="Y199" s="1">
        <f>IFERROR(Table2[[#This Row],[CCCM_PIN]]*$V199,)</f>
        <v>0</v>
      </c>
      <c r="Z199" s="1">
        <f>IFERROR(Table2[[#This Row],[ERL_PIN]]*$V199,)</f>
        <v>0</v>
      </c>
      <c r="AA199" s="1">
        <f>IFERROR(Table2[[#This Row],[NFI_PIN]]*$V199,)</f>
        <v>0</v>
      </c>
      <c r="AB199" s="1">
        <f>IFERROR(Table2[[#This Row],[Nutrition_PIN]]*$V199,)</f>
        <v>0</v>
      </c>
      <c r="AC199" s="1">
        <f>IFERROR(Table2[[#This Row],[Education_PIN]]*$V199,)</f>
        <v>0</v>
      </c>
      <c r="AD199" s="1">
        <f>IFERROR(Table2[[#This Row],[Shelter_PIN]]*$V199,)</f>
        <v>0</v>
      </c>
      <c r="AE199" s="1">
        <f>IFERROR(Table2[[#This Row],[WASH_PIN]]*$V199,)</f>
        <v>0</v>
      </c>
      <c r="AF199" s="1">
        <f>IFERROR(Table2[[#This Row],[WASH_acute_PIN]]*$V199,)</f>
        <v>0</v>
      </c>
      <c r="AG199" s="1">
        <f>IFERROR(Table2[[#This Row],[Protection_PIN]]*$V199,)</f>
        <v>0</v>
      </c>
      <c r="AH199" s="1">
        <f>IFERROR(Table2[[#This Row],[Food_PIN]]*$V199,)</f>
        <v>0</v>
      </c>
      <c r="AI199" s="1">
        <f>IFERROR(Table2[[#This Row],[Protection_CP_PIN]]*$V199,)</f>
        <v>0</v>
      </c>
      <c r="AJ199" s="1">
        <f>IFERROR(Table2[[#This Row],[Protection_GBV_PIN]]*$V199,)</f>
        <v>0</v>
      </c>
      <c r="AK199" s="1">
        <f>IFERROR(Table2[[#This Row],[Protection_MA_PIN]]*$V199,)</f>
        <v>0</v>
      </c>
      <c r="AL199" s="1">
        <f>IFERROR(Table2[[#This Row],[Health_PIN]]*$W199,)</f>
        <v>0</v>
      </c>
      <c r="AM199" s="1">
        <f>IFERROR(Table2[[#This Row],[CCCM_PIN]]*$W199,)</f>
        <v>0</v>
      </c>
      <c r="AN199" s="1">
        <f>IFERROR(Table2[[#This Row],[ERL_PIN]]*$W199,)</f>
        <v>0</v>
      </c>
      <c r="AO199" s="1">
        <f>IFERROR(Table2[[#This Row],[NFI_PIN]]*$W199,)</f>
        <v>0</v>
      </c>
      <c r="AP199" s="1">
        <f>IFERROR(Table2[[#This Row],[Nutrition_PIN]]*$W199,)</f>
        <v>0</v>
      </c>
      <c r="AQ199" s="1">
        <f>IFERROR(Table2[[#This Row],[Education_PIN]]*$W199,)</f>
        <v>0</v>
      </c>
      <c r="AR199" s="1">
        <f>IFERROR(Table2[[#This Row],[Shelter_PIN]]*$W199,)</f>
        <v>0</v>
      </c>
      <c r="AS199" s="1">
        <f>IFERROR(Table2[[#This Row],[WASH_PIN]]*$W199,)</f>
        <v>0</v>
      </c>
      <c r="AT199" s="1">
        <f>IFERROR(Table2[[#This Row],[WASH_acute_PIN]]*$W199,)</f>
        <v>0</v>
      </c>
      <c r="AU199" s="1">
        <f>IFERROR(Table2[[#This Row],[Protection_PIN]]*$W199,)</f>
        <v>0</v>
      </c>
      <c r="AV199" s="1">
        <f>IFERROR(Table2[[#This Row],[Food_PIN]]*$W199,)</f>
        <v>0</v>
      </c>
      <c r="AW199" s="1">
        <f>IFERROR(Table2[[#This Row],[Protection_CP_PIN]]*$W199,)</f>
        <v>0</v>
      </c>
      <c r="AX199" s="1">
        <f>IFERROR(Table2[[#This Row],[Protection_GBV_PIN]]*$W199,)</f>
        <v>0</v>
      </c>
      <c r="AY199" s="1">
        <f>IFERROR(Table2[[#This Row],[Protection_MA_PIN]]*$W199,)</f>
        <v>0</v>
      </c>
      <c r="AZ199" s="1">
        <v>3</v>
      </c>
      <c r="BA199" s="1">
        <v>4</v>
      </c>
      <c r="BB199" s="1">
        <v>5</v>
      </c>
      <c r="BC199" s="1">
        <v>3</v>
      </c>
      <c r="BD199" s="1">
        <v>3</v>
      </c>
      <c r="BE199" s="1">
        <v>5</v>
      </c>
      <c r="BF199" s="1">
        <v>4</v>
      </c>
      <c r="BG199" s="1">
        <v>4</v>
      </c>
      <c r="BH199" s="1">
        <v>5</v>
      </c>
      <c r="BI199" s="1">
        <v>4</v>
      </c>
      <c r="BJ199" s="1">
        <v>4</v>
      </c>
      <c r="BK199" s="1">
        <v>3</v>
      </c>
      <c r="BL199" s="1">
        <v>4</v>
      </c>
    </row>
    <row r="200" spans="1:64" x14ac:dyDescent="0.35">
      <c r="A200" t="s">
        <v>104</v>
      </c>
      <c r="B200" t="s">
        <v>677</v>
      </c>
      <c r="C200" t="s">
        <v>105</v>
      </c>
      <c r="D200" t="s">
        <v>296</v>
      </c>
      <c r="E200" t="s">
        <v>888</v>
      </c>
      <c r="F200" t="s">
        <v>297</v>
      </c>
      <c r="G200" t="s">
        <v>296</v>
      </c>
      <c r="H200" s="1">
        <v>32524.5</v>
      </c>
      <c r="I200" s="1" t="s">
        <v>665</v>
      </c>
      <c r="J200" s="1">
        <v>30127</v>
      </c>
      <c r="K200" s="1">
        <v>11412</v>
      </c>
      <c r="L200" s="1">
        <v>7769.2295466286441</v>
      </c>
      <c r="M200" s="1">
        <v>38236.433333333334</v>
      </c>
      <c r="N200" s="1">
        <v>5478</v>
      </c>
      <c r="O200" s="1">
        <v>19051.885109684219</v>
      </c>
      <c r="P200" s="1">
        <v>1392</v>
      </c>
      <c r="Q200" s="1">
        <v>34693</v>
      </c>
      <c r="R200" s="1">
        <v>37780.984848484848</v>
      </c>
      <c r="S200" s="1">
        <v>13743.3</v>
      </c>
      <c r="T200" s="1">
        <v>18118</v>
      </c>
      <c r="U200" s="1">
        <v>43366</v>
      </c>
      <c r="V200" s="3">
        <f>_xlfn.XLOOKUP(Table2[[#This Row],[admin3Pcode]],'Inter-sector dataset'!F:F,'Inter-sector dataset'!Q:Q)</f>
        <v>0</v>
      </c>
      <c r="W200" s="3">
        <f>_xlfn.XLOOKUP(Table2[[#This Row],[admin3Pcode]],'Inter-sector dataset'!F:F,'Inter-sector dataset'!R:R)</f>
        <v>0</v>
      </c>
      <c r="X200" s="1">
        <f>IFERROR(Table2[[#This Row],[Health_PIN]]*$V200,)</f>
        <v>0</v>
      </c>
      <c r="Y200" s="1">
        <f>IFERROR(Table2[[#This Row],[CCCM_PIN]]*$V200,)</f>
        <v>0</v>
      </c>
      <c r="Z200" s="1">
        <f>IFERROR(Table2[[#This Row],[ERL_PIN]]*$V200,)</f>
        <v>0</v>
      </c>
      <c r="AA200" s="1">
        <f>IFERROR(Table2[[#This Row],[NFI_PIN]]*$V200,)</f>
        <v>0</v>
      </c>
      <c r="AB200" s="1">
        <f>IFERROR(Table2[[#This Row],[Nutrition_PIN]]*$V200,)</f>
        <v>0</v>
      </c>
      <c r="AC200" s="1">
        <f>IFERROR(Table2[[#This Row],[Education_PIN]]*$V200,)</f>
        <v>0</v>
      </c>
      <c r="AD200" s="1">
        <f>IFERROR(Table2[[#This Row],[Shelter_PIN]]*$V200,)</f>
        <v>0</v>
      </c>
      <c r="AE200" s="1">
        <f>IFERROR(Table2[[#This Row],[WASH_PIN]]*$V200,)</f>
        <v>0</v>
      </c>
      <c r="AF200" s="1">
        <f>IFERROR(Table2[[#This Row],[WASH_acute_PIN]]*$V200,)</f>
        <v>0</v>
      </c>
      <c r="AG200" s="1">
        <f>IFERROR(Table2[[#This Row],[Protection_PIN]]*$V200,)</f>
        <v>0</v>
      </c>
      <c r="AH200" s="1">
        <f>IFERROR(Table2[[#This Row],[Food_PIN]]*$V200,)</f>
        <v>0</v>
      </c>
      <c r="AI200" s="1">
        <f>IFERROR(Table2[[#This Row],[Protection_CP_PIN]]*$V200,)</f>
        <v>0</v>
      </c>
      <c r="AJ200" s="1">
        <f>IFERROR(Table2[[#This Row],[Protection_GBV_PIN]]*$V200,)</f>
        <v>0</v>
      </c>
      <c r="AK200" s="1">
        <f>IFERROR(Table2[[#This Row],[Protection_MA_PIN]]*$V200,)</f>
        <v>0</v>
      </c>
      <c r="AL200" s="1">
        <f>IFERROR(Table2[[#This Row],[Health_PIN]]*$W200,)</f>
        <v>0</v>
      </c>
      <c r="AM200" s="1">
        <f>IFERROR(Table2[[#This Row],[CCCM_PIN]]*$W200,)</f>
        <v>0</v>
      </c>
      <c r="AN200" s="1">
        <f>IFERROR(Table2[[#This Row],[ERL_PIN]]*$W200,)</f>
        <v>0</v>
      </c>
      <c r="AO200" s="1">
        <f>IFERROR(Table2[[#This Row],[NFI_PIN]]*$W200,)</f>
        <v>0</v>
      </c>
      <c r="AP200" s="1">
        <f>IFERROR(Table2[[#This Row],[Nutrition_PIN]]*$W200,)</f>
        <v>0</v>
      </c>
      <c r="AQ200" s="1">
        <f>IFERROR(Table2[[#This Row],[Education_PIN]]*$W200,)</f>
        <v>0</v>
      </c>
      <c r="AR200" s="1">
        <f>IFERROR(Table2[[#This Row],[Shelter_PIN]]*$W200,)</f>
        <v>0</v>
      </c>
      <c r="AS200" s="1">
        <f>IFERROR(Table2[[#This Row],[WASH_PIN]]*$W200,)</f>
        <v>0</v>
      </c>
      <c r="AT200" s="1">
        <f>IFERROR(Table2[[#This Row],[WASH_acute_PIN]]*$W200,)</f>
        <v>0</v>
      </c>
      <c r="AU200" s="1">
        <f>IFERROR(Table2[[#This Row],[Protection_PIN]]*$W200,)</f>
        <v>0</v>
      </c>
      <c r="AV200" s="1">
        <f>IFERROR(Table2[[#This Row],[Food_PIN]]*$W200,)</f>
        <v>0</v>
      </c>
      <c r="AW200" s="1">
        <f>IFERROR(Table2[[#This Row],[Protection_CP_PIN]]*$W200,)</f>
        <v>0</v>
      </c>
      <c r="AX200" s="1">
        <f>IFERROR(Table2[[#This Row],[Protection_GBV_PIN]]*$W200,)</f>
        <v>0</v>
      </c>
      <c r="AY200" s="1">
        <f>IFERROR(Table2[[#This Row],[Protection_MA_PIN]]*$W200,)</f>
        <v>0</v>
      </c>
      <c r="AZ200" s="1">
        <v>2</v>
      </c>
      <c r="BA200" s="1">
        <v>3</v>
      </c>
      <c r="BB200" s="1">
        <v>4</v>
      </c>
      <c r="BC200" s="1">
        <v>3</v>
      </c>
      <c r="BD200" s="1">
        <v>3</v>
      </c>
      <c r="BE200" s="1">
        <v>4</v>
      </c>
      <c r="BF200" s="1">
        <v>4</v>
      </c>
      <c r="BG200" s="1">
        <v>4</v>
      </c>
      <c r="BH200" s="1">
        <v>4</v>
      </c>
      <c r="BI200" s="1">
        <v>4</v>
      </c>
      <c r="BJ200" s="1">
        <v>4</v>
      </c>
      <c r="BK200" s="1" t="s">
        <v>665</v>
      </c>
      <c r="BL200" s="1">
        <v>3</v>
      </c>
    </row>
    <row r="201" spans="1:64" x14ac:dyDescent="0.35">
      <c r="A201" t="s">
        <v>104</v>
      </c>
      <c r="B201" t="s">
        <v>677</v>
      </c>
      <c r="C201" t="s">
        <v>105</v>
      </c>
      <c r="D201" t="s">
        <v>467</v>
      </c>
      <c r="E201" t="s">
        <v>889</v>
      </c>
      <c r="F201" t="s">
        <v>469</v>
      </c>
      <c r="G201" t="s">
        <v>467</v>
      </c>
      <c r="H201" s="1">
        <v>21708</v>
      </c>
      <c r="I201" s="1" t="s">
        <v>665</v>
      </c>
      <c r="J201" s="1">
        <v>39821</v>
      </c>
      <c r="K201" s="1">
        <v>11269</v>
      </c>
      <c r="L201" s="1">
        <v>11769.242119797334</v>
      </c>
      <c r="M201" s="1">
        <v>4681.1172912874854</v>
      </c>
      <c r="N201" s="1">
        <v>11269</v>
      </c>
      <c r="O201" s="1">
        <v>32165.143342668271</v>
      </c>
      <c r="P201" s="1">
        <v>21607</v>
      </c>
      <c r="Q201" s="1">
        <v>34733</v>
      </c>
      <c r="R201" s="1">
        <v>26206.054054054057</v>
      </c>
      <c r="S201" s="1">
        <v>8959.2000000000007</v>
      </c>
      <c r="T201" s="1">
        <v>20855</v>
      </c>
      <c r="U201" s="1">
        <v>42929</v>
      </c>
      <c r="V201" s="3">
        <f>_xlfn.XLOOKUP(Table2[[#This Row],[admin3Pcode]],'Inter-sector dataset'!F:F,'Inter-sector dataset'!Q:Q)</f>
        <v>0</v>
      </c>
      <c r="W201" s="3">
        <f>_xlfn.XLOOKUP(Table2[[#This Row],[admin3Pcode]],'Inter-sector dataset'!F:F,'Inter-sector dataset'!R:R)</f>
        <v>0</v>
      </c>
      <c r="X201" s="1">
        <f>IFERROR(Table2[[#This Row],[Health_PIN]]*$V201,)</f>
        <v>0</v>
      </c>
      <c r="Y201" s="1">
        <f>IFERROR(Table2[[#This Row],[CCCM_PIN]]*$V201,)</f>
        <v>0</v>
      </c>
      <c r="Z201" s="1">
        <f>IFERROR(Table2[[#This Row],[ERL_PIN]]*$V201,)</f>
        <v>0</v>
      </c>
      <c r="AA201" s="1">
        <f>IFERROR(Table2[[#This Row],[NFI_PIN]]*$V201,)</f>
        <v>0</v>
      </c>
      <c r="AB201" s="1">
        <f>IFERROR(Table2[[#This Row],[Nutrition_PIN]]*$V201,)</f>
        <v>0</v>
      </c>
      <c r="AC201" s="1">
        <f>IFERROR(Table2[[#This Row],[Education_PIN]]*$V201,)</f>
        <v>0</v>
      </c>
      <c r="AD201" s="1">
        <f>IFERROR(Table2[[#This Row],[Shelter_PIN]]*$V201,)</f>
        <v>0</v>
      </c>
      <c r="AE201" s="1">
        <f>IFERROR(Table2[[#This Row],[WASH_PIN]]*$V201,)</f>
        <v>0</v>
      </c>
      <c r="AF201" s="1">
        <f>IFERROR(Table2[[#This Row],[WASH_acute_PIN]]*$V201,)</f>
        <v>0</v>
      </c>
      <c r="AG201" s="1">
        <f>IFERROR(Table2[[#This Row],[Protection_PIN]]*$V201,)</f>
        <v>0</v>
      </c>
      <c r="AH201" s="1">
        <f>IFERROR(Table2[[#This Row],[Food_PIN]]*$V201,)</f>
        <v>0</v>
      </c>
      <c r="AI201" s="1">
        <f>IFERROR(Table2[[#This Row],[Protection_CP_PIN]]*$V201,)</f>
        <v>0</v>
      </c>
      <c r="AJ201" s="1">
        <f>IFERROR(Table2[[#This Row],[Protection_GBV_PIN]]*$V201,)</f>
        <v>0</v>
      </c>
      <c r="AK201" s="1">
        <f>IFERROR(Table2[[#This Row],[Protection_MA_PIN]]*$V201,)</f>
        <v>0</v>
      </c>
      <c r="AL201" s="1">
        <f>IFERROR(Table2[[#This Row],[Health_PIN]]*$W201,)</f>
        <v>0</v>
      </c>
      <c r="AM201" s="1">
        <f>IFERROR(Table2[[#This Row],[CCCM_PIN]]*$W201,)</f>
        <v>0</v>
      </c>
      <c r="AN201" s="1">
        <f>IFERROR(Table2[[#This Row],[ERL_PIN]]*$W201,)</f>
        <v>0</v>
      </c>
      <c r="AO201" s="1">
        <f>IFERROR(Table2[[#This Row],[NFI_PIN]]*$W201,)</f>
        <v>0</v>
      </c>
      <c r="AP201" s="1">
        <f>IFERROR(Table2[[#This Row],[Nutrition_PIN]]*$W201,)</f>
        <v>0</v>
      </c>
      <c r="AQ201" s="1">
        <f>IFERROR(Table2[[#This Row],[Education_PIN]]*$W201,)</f>
        <v>0</v>
      </c>
      <c r="AR201" s="1">
        <f>IFERROR(Table2[[#This Row],[Shelter_PIN]]*$W201,)</f>
        <v>0</v>
      </c>
      <c r="AS201" s="1">
        <f>IFERROR(Table2[[#This Row],[WASH_PIN]]*$W201,)</f>
        <v>0</v>
      </c>
      <c r="AT201" s="1">
        <f>IFERROR(Table2[[#This Row],[WASH_acute_PIN]]*$W201,)</f>
        <v>0</v>
      </c>
      <c r="AU201" s="1">
        <f>IFERROR(Table2[[#This Row],[Protection_PIN]]*$W201,)</f>
        <v>0</v>
      </c>
      <c r="AV201" s="1">
        <f>IFERROR(Table2[[#This Row],[Food_PIN]]*$W201,)</f>
        <v>0</v>
      </c>
      <c r="AW201" s="1">
        <f>IFERROR(Table2[[#This Row],[Protection_CP_PIN]]*$W201,)</f>
        <v>0</v>
      </c>
      <c r="AX201" s="1">
        <f>IFERROR(Table2[[#This Row],[Protection_GBV_PIN]]*$W201,)</f>
        <v>0</v>
      </c>
      <c r="AY201" s="1">
        <f>IFERROR(Table2[[#This Row],[Protection_MA_PIN]]*$W201,)</f>
        <v>0</v>
      </c>
      <c r="AZ201" s="1">
        <v>3</v>
      </c>
      <c r="BA201" s="1">
        <v>3</v>
      </c>
      <c r="BB201" s="1">
        <v>4</v>
      </c>
      <c r="BC201" s="1">
        <v>3</v>
      </c>
      <c r="BD201" s="1">
        <v>3</v>
      </c>
      <c r="BE201" s="1">
        <v>3</v>
      </c>
      <c r="BF201" s="1">
        <v>4</v>
      </c>
      <c r="BG201" s="1">
        <v>3</v>
      </c>
      <c r="BH201" s="1">
        <v>4</v>
      </c>
      <c r="BI201" s="1">
        <v>4</v>
      </c>
      <c r="BJ201" s="1">
        <v>3</v>
      </c>
      <c r="BK201" s="1" t="s">
        <v>665</v>
      </c>
      <c r="BL201" s="1">
        <v>4</v>
      </c>
    </row>
    <row r="202" spans="1:64" x14ac:dyDescent="0.35">
      <c r="A202" t="s">
        <v>192</v>
      </c>
      <c r="B202" t="s">
        <v>711</v>
      </c>
      <c r="C202" t="s">
        <v>193</v>
      </c>
      <c r="D202" t="s">
        <v>305</v>
      </c>
      <c r="E202" t="s">
        <v>890</v>
      </c>
      <c r="F202" t="s">
        <v>306</v>
      </c>
      <c r="G202" t="s">
        <v>305</v>
      </c>
      <c r="H202" s="1">
        <v>43613</v>
      </c>
      <c r="I202" s="1">
        <v>1922</v>
      </c>
      <c r="J202" s="1">
        <v>34445</v>
      </c>
      <c r="K202" s="1">
        <v>8852</v>
      </c>
      <c r="L202" s="1">
        <v>12967.240683043143</v>
      </c>
      <c r="M202" s="1">
        <v>19182.8</v>
      </c>
      <c r="N202" s="1">
        <v>12152</v>
      </c>
      <c r="O202" s="1">
        <v>39355.203560007605</v>
      </c>
      <c r="P202" s="1">
        <v>18057</v>
      </c>
      <c r="Q202" s="1">
        <v>34890</v>
      </c>
      <c r="R202" s="1">
        <v>41223.475409836065</v>
      </c>
      <c r="S202" s="1">
        <v>15657</v>
      </c>
      <c r="T202" s="1">
        <v>19217</v>
      </c>
      <c r="U202" s="1">
        <v>34012</v>
      </c>
      <c r="V202" s="3">
        <f>_xlfn.XLOOKUP(Table2[[#This Row],[admin3Pcode]],'Inter-sector dataset'!F:F,'Inter-sector dataset'!Q:Q)</f>
        <v>1</v>
      </c>
      <c r="W202" s="3">
        <f>_xlfn.XLOOKUP(Table2[[#This Row],[admin3Pcode]],'Inter-sector dataset'!F:F,'Inter-sector dataset'!R:R)</f>
        <v>0</v>
      </c>
      <c r="X202" s="1">
        <f>IFERROR(Table2[[#This Row],[Health_PIN]]*$V202,)</f>
        <v>43613</v>
      </c>
      <c r="Y202" s="1">
        <f>IFERROR(Table2[[#This Row],[CCCM_PIN]]*$V202,)</f>
        <v>1922</v>
      </c>
      <c r="Z202" s="1">
        <f>IFERROR(Table2[[#This Row],[ERL_PIN]]*$V202,)</f>
        <v>34445</v>
      </c>
      <c r="AA202" s="1">
        <f>IFERROR(Table2[[#This Row],[NFI_PIN]]*$V202,)</f>
        <v>8852</v>
      </c>
      <c r="AB202" s="1">
        <f>IFERROR(Table2[[#This Row],[Nutrition_PIN]]*$V202,)</f>
        <v>12967.240683043143</v>
      </c>
      <c r="AC202" s="1">
        <f>IFERROR(Table2[[#This Row],[Education_PIN]]*$V202,)</f>
        <v>19182.8</v>
      </c>
      <c r="AD202" s="1">
        <f>IFERROR(Table2[[#This Row],[Shelter_PIN]]*$V202,)</f>
        <v>12152</v>
      </c>
      <c r="AE202" s="1">
        <f>IFERROR(Table2[[#This Row],[WASH_PIN]]*$V202,)</f>
        <v>39355.203560007605</v>
      </c>
      <c r="AF202" s="1">
        <f>IFERROR(Table2[[#This Row],[WASH_acute_PIN]]*$V202,)</f>
        <v>18057</v>
      </c>
      <c r="AG202" s="1">
        <f>IFERROR(Table2[[#This Row],[Protection_PIN]]*$V202,)</f>
        <v>34890</v>
      </c>
      <c r="AH202" s="1">
        <f>IFERROR(Table2[[#This Row],[Food_PIN]]*$V202,)</f>
        <v>41223.475409836065</v>
      </c>
      <c r="AI202" s="1">
        <f>IFERROR(Table2[[#This Row],[Protection_CP_PIN]]*$V202,)</f>
        <v>15657</v>
      </c>
      <c r="AJ202" s="1">
        <f>IFERROR(Table2[[#This Row],[Protection_GBV_PIN]]*$V202,)</f>
        <v>19217</v>
      </c>
      <c r="AK202" s="1">
        <f>IFERROR(Table2[[#This Row],[Protection_MA_PIN]]*$V202,)</f>
        <v>34012</v>
      </c>
      <c r="AL202" s="1">
        <f>IFERROR(Table2[[#This Row],[Health_PIN]]*$W202,)</f>
        <v>0</v>
      </c>
      <c r="AM202" s="1">
        <f>IFERROR(Table2[[#This Row],[CCCM_PIN]]*$W202,)</f>
        <v>0</v>
      </c>
      <c r="AN202" s="1">
        <f>IFERROR(Table2[[#This Row],[ERL_PIN]]*$W202,)</f>
        <v>0</v>
      </c>
      <c r="AO202" s="1">
        <f>IFERROR(Table2[[#This Row],[NFI_PIN]]*$W202,)</f>
        <v>0</v>
      </c>
      <c r="AP202" s="1">
        <f>IFERROR(Table2[[#This Row],[Nutrition_PIN]]*$W202,)</f>
        <v>0</v>
      </c>
      <c r="AQ202" s="1">
        <f>IFERROR(Table2[[#This Row],[Education_PIN]]*$W202,)</f>
        <v>0</v>
      </c>
      <c r="AR202" s="1">
        <f>IFERROR(Table2[[#This Row],[Shelter_PIN]]*$W202,)</f>
        <v>0</v>
      </c>
      <c r="AS202" s="1">
        <f>IFERROR(Table2[[#This Row],[WASH_PIN]]*$W202,)</f>
        <v>0</v>
      </c>
      <c r="AT202" s="1">
        <f>IFERROR(Table2[[#This Row],[WASH_acute_PIN]]*$W202,)</f>
        <v>0</v>
      </c>
      <c r="AU202" s="1">
        <f>IFERROR(Table2[[#This Row],[Protection_PIN]]*$W202,)</f>
        <v>0</v>
      </c>
      <c r="AV202" s="1">
        <f>IFERROR(Table2[[#This Row],[Food_PIN]]*$W202,)</f>
        <v>0</v>
      </c>
      <c r="AW202" s="1">
        <f>IFERROR(Table2[[#This Row],[Protection_CP_PIN]]*$W202,)</f>
        <v>0</v>
      </c>
      <c r="AX202" s="1">
        <f>IFERROR(Table2[[#This Row],[Protection_GBV_PIN]]*$W202,)</f>
        <v>0</v>
      </c>
      <c r="AY202" s="1">
        <f>IFERROR(Table2[[#This Row],[Protection_MA_PIN]]*$W202,)</f>
        <v>0</v>
      </c>
      <c r="AZ202" s="1">
        <v>3</v>
      </c>
      <c r="BA202" s="1">
        <v>3</v>
      </c>
      <c r="BB202" s="1">
        <v>5</v>
      </c>
      <c r="BC202" s="1">
        <v>3</v>
      </c>
      <c r="BD202" s="1">
        <v>3</v>
      </c>
      <c r="BE202" s="1">
        <v>5</v>
      </c>
      <c r="BF202" s="1">
        <v>4</v>
      </c>
      <c r="BG202" s="1">
        <v>4</v>
      </c>
      <c r="BH202" s="1">
        <v>4</v>
      </c>
      <c r="BI202" s="1">
        <v>4</v>
      </c>
      <c r="BJ202" s="1">
        <v>4</v>
      </c>
      <c r="BK202" s="1">
        <v>4</v>
      </c>
      <c r="BL202" s="1">
        <v>4</v>
      </c>
    </row>
    <row r="203" spans="1:64" x14ac:dyDescent="0.35">
      <c r="A203" t="s">
        <v>104</v>
      </c>
      <c r="B203" t="s">
        <v>677</v>
      </c>
      <c r="C203" t="s">
        <v>105</v>
      </c>
      <c r="D203" t="s">
        <v>492</v>
      </c>
      <c r="E203" t="s">
        <v>891</v>
      </c>
      <c r="F203" t="s">
        <v>493</v>
      </c>
      <c r="G203" t="s">
        <v>492</v>
      </c>
      <c r="H203" s="1">
        <v>22280</v>
      </c>
      <c r="I203" s="1" t="s">
        <v>665</v>
      </c>
      <c r="J203" s="1">
        <v>42149</v>
      </c>
      <c r="K203" s="1">
        <v>12544</v>
      </c>
      <c r="L203" s="1">
        <v>9963.8869428763755</v>
      </c>
      <c r="M203" s="1">
        <v>4913.2818133605915</v>
      </c>
      <c r="N203" s="1">
        <v>10340</v>
      </c>
      <c r="O203" s="1">
        <v>29621.567611647031</v>
      </c>
      <c r="P203" s="1">
        <v>7321</v>
      </c>
      <c r="Q203" s="1">
        <v>35648</v>
      </c>
      <c r="R203" s="1">
        <v>36308.148148148146</v>
      </c>
      <c r="S203" s="1">
        <v>11768.399999999998</v>
      </c>
      <c r="T203" s="1">
        <v>19355</v>
      </c>
      <c r="U203" s="1">
        <v>44560</v>
      </c>
      <c r="V203" s="3">
        <f>_xlfn.XLOOKUP(Table2[[#This Row],[admin3Pcode]],'Inter-sector dataset'!F:F,'Inter-sector dataset'!Q:Q)</f>
        <v>0</v>
      </c>
      <c r="W203" s="3">
        <f>_xlfn.XLOOKUP(Table2[[#This Row],[admin3Pcode]],'Inter-sector dataset'!F:F,'Inter-sector dataset'!R:R)</f>
        <v>0</v>
      </c>
      <c r="X203" s="1">
        <f>IFERROR(Table2[[#This Row],[Health_PIN]]*$V203,)</f>
        <v>0</v>
      </c>
      <c r="Y203" s="1">
        <f>IFERROR(Table2[[#This Row],[CCCM_PIN]]*$V203,)</f>
        <v>0</v>
      </c>
      <c r="Z203" s="1">
        <f>IFERROR(Table2[[#This Row],[ERL_PIN]]*$V203,)</f>
        <v>0</v>
      </c>
      <c r="AA203" s="1">
        <f>IFERROR(Table2[[#This Row],[NFI_PIN]]*$V203,)</f>
        <v>0</v>
      </c>
      <c r="AB203" s="1">
        <f>IFERROR(Table2[[#This Row],[Nutrition_PIN]]*$V203,)</f>
        <v>0</v>
      </c>
      <c r="AC203" s="1">
        <f>IFERROR(Table2[[#This Row],[Education_PIN]]*$V203,)</f>
        <v>0</v>
      </c>
      <c r="AD203" s="1">
        <f>IFERROR(Table2[[#This Row],[Shelter_PIN]]*$V203,)</f>
        <v>0</v>
      </c>
      <c r="AE203" s="1">
        <f>IFERROR(Table2[[#This Row],[WASH_PIN]]*$V203,)</f>
        <v>0</v>
      </c>
      <c r="AF203" s="1">
        <f>IFERROR(Table2[[#This Row],[WASH_acute_PIN]]*$V203,)</f>
        <v>0</v>
      </c>
      <c r="AG203" s="1">
        <f>IFERROR(Table2[[#This Row],[Protection_PIN]]*$V203,)</f>
        <v>0</v>
      </c>
      <c r="AH203" s="1">
        <f>IFERROR(Table2[[#This Row],[Food_PIN]]*$V203,)</f>
        <v>0</v>
      </c>
      <c r="AI203" s="1">
        <f>IFERROR(Table2[[#This Row],[Protection_CP_PIN]]*$V203,)</f>
        <v>0</v>
      </c>
      <c r="AJ203" s="1">
        <f>IFERROR(Table2[[#This Row],[Protection_GBV_PIN]]*$V203,)</f>
        <v>0</v>
      </c>
      <c r="AK203" s="1">
        <f>IFERROR(Table2[[#This Row],[Protection_MA_PIN]]*$V203,)</f>
        <v>0</v>
      </c>
      <c r="AL203" s="1">
        <f>IFERROR(Table2[[#This Row],[Health_PIN]]*$W203,)</f>
        <v>0</v>
      </c>
      <c r="AM203" s="1">
        <f>IFERROR(Table2[[#This Row],[CCCM_PIN]]*$W203,)</f>
        <v>0</v>
      </c>
      <c r="AN203" s="1">
        <f>IFERROR(Table2[[#This Row],[ERL_PIN]]*$W203,)</f>
        <v>0</v>
      </c>
      <c r="AO203" s="1">
        <f>IFERROR(Table2[[#This Row],[NFI_PIN]]*$W203,)</f>
        <v>0</v>
      </c>
      <c r="AP203" s="1">
        <f>IFERROR(Table2[[#This Row],[Nutrition_PIN]]*$W203,)</f>
        <v>0</v>
      </c>
      <c r="AQ203" s="1">
        <f>IFERROR(Table2[[#This Row],[Education_PIN]]*$W203,)</f>
        <v>0</v>
      </c>
      <c r="AR203" s="1">
        <f>IFERROR(Table2[[#This Row],[Shelter_PIN]]*$W203,)</f>
        <v>0</v>
      </c>
      <c r="AS203" s="1">
        <f>IFERROR(Table2[[#This Row],[WASH_PIN]]*$W203,)</f>
        <v>0</v>
      </c>
      <c r="AT203" s="1">
        <f>IFERROR(Table2[[#This Row],[WASH_acute_PIN]]*$W203,)</f>
        <v>0</v>
      </c>
      <c r="AU203" s="1">
        <f>IFERROR(Table2[[#This Row],[Protection_PIN]]*$W203,)</f>
        <v>0</v>
      </c>
      <c r="AV203" s="1">
        <f>IFERROR(Table2[[#This Row],[Food_PIN]]*$W203,)</f>
        <v>0</v>
      </c>
      <c r="AW203" s="1">
        <f>IFERROR(Table2[[#This Row],[Protection_CP_PIN]]*$W203,)</f>
        <v>0</v>
      </c>
      <c r="AX203" s="1">
        <f>IFERROR(Table2[[#This Row],[Protection_GBV_PIN]]*$W203,)</f>
        <v>0</v>
      </c>
      <c r="AY203" s="1">
        <f>IFERROR(Table2[[#This Row],[Protection_MA_PIN]]*$W203,)</f>
        <v>0</v>
      </c>
      <c r="AZ203" s="1">
        <v>3</v>
      </c>
      <c r="BA203" s="1">
        <v>3</v>
      </c>
      <c r="BB203" s="1">
        <v>4</v>
      </c>
      <c r="BC203" s="1">
        <v>3</v>
      </c>
      <c r="BD203" s="1">
        <v>3</v>
      </c>
      <c r="BE203" s="1">
        <v>3</v>
      </c>
      <c r="BF203" s="1">
        <v>4</v>
      </c>
      <c r="BG203" s="1">
        <v>4</v>
      </c>
      <c r="BH203" s="1">
        <v>4</v>
      </c>
      <c r="BI203" s="1">
        <v>4</v>
      </c>
      <c r="BJ203" s="1">
        <v>4</v>
      </c>
      <c r="BK203" s="1" t="s">
        <v>665</v>
      </c>
      <c r="BL203" s="1">
        <v>3</v>
      </c>
    </row>
    <row r="204" spans="1:64" x14ac:dyDescent="0.35">
      <c r="A204" t="s">
        <v>17</v>
      </c>
      <c r="B204" t="s">
        <v>663</v>
      </c>
      <c r="C204" t="s">
        <v>18</v>
      </c>
      <c r="D204" t="s">
        <v>215</v>
      </c>
      <c r="E204" t="s">
        <v>892</v>
      </c>
      <c r="F204" t="s">
        <v>216</v>
      </c>
      <c r="G204" t="s">
        <v>215</v>
      </c>
      <c r="H204" s="1">
        <v>23548</v>
      </c>
      <c r="I204" s="1" t="s">
        <v>665</v>
      </c>
      <c r="J204" s="1">
        <v>31881</v>
      </c>
      <c r="K204" s="1">
        <v>9399</v>
      </c>
      <c r="L204" s="1">
        <v>7899.3461622993264</v>
      </c>
      <c r="M204" s="1">
        <v>10646.433333333332</v>
      </c>
      <c r="N204" s="1">
        <v>9399</v>
      </c>
      <c r="O204" s="1">
        <v>995.91355503197781</v>
      </c>
      <c r="P204" s="1">
        <v>0</v>
      </c>
      <c r="Q204" s="1">
        <v>37677</v>
      </c>
      <c r="R204" s="1">
        <v>37938.444444444445</v>
      </c>
      <c r="S204" s="1">
        <v>8139.3</v>
      </c>
      <c r="T204" s="1">
        <v>14403</v>
      </c>
      <c r="U204" s="1">
        <v>29016</v>
      </c>
      <c r="V204" s="3">
        <f>_xlfn.XLOOKUP(Table2[[#This Row],[admin3Pcode]],'Inter-sector dataset'!F:F,'Inter-sector dataset'!Q:Q)</f>
        <v>0</v>
      </c>
      <c r="W204" s="3">
        <f>_xlfn.XLOOKUP(Table2[[#This Row],[admin3Pcode]],'Inter-sector dataset'!F:F,'Inter-sector dataset'!R:R)</f>
        <v>0</v>
      </c>
      <c r="X204" s="1">
        <f>IFERROR(Table2[[#This Row],[Health_PIN]]*$V204,)</f>
        <v>0</v>
      </c>
      <c r="Y204" s="1">
        <f>IFERROR(Table2[[#This Row],[CCCM_PIN]]*$V204,)</f>
        <v>0</v>
      </c>
      <c r="Z204" s="1">
        <f>IFERROR(Table2[[#This Row],[ERL_PIN]]*$V204,)</f>
        <v>0</v>
      </c>
      <c r="AA204" s="1">
        <f>IFERROR(Table2[[#This Row],[NFI_PIN]]*$V204,)</f>
        <v>0</v>
      </c>
      <c r="AB204" s="1">
        <f>IFERROR(Table2[[#This Row],[Nutrition_PIN]]*$V204,)</f>
        <v>0</v>
      </c>
      <c r="AC204" s="1">
        <f>IFERROR(Table2[[#This Row],[Education_PIN]]*$V204,)</f>
        <v>0</v>
      </c>
      <c r="AD204" s="1">
        <f>IFERROR(Table2[[#This Row],[Shelter_PIN]]*$V204,)</f>
        <v>0</v>
      </c>
      <c r="AE204" s="1">
        <f>IFERROR(Table2[[#This Row],[WASH_PIN]]*$V204,)</f>
        <v>0</v>
      </c>
      <c r="AF204" s="1">
        <f>IFERROR(Table2[[#This Row],[WASH_acute_PIN]]*$V204,)</f>
        <v>0</v>
      </c>
      <c r="AG204" s="1">
        <f>IFERROR(Table2[[#This Row],[Protection_PIN]]*$V204,)</f>
        <v>0</v>
      </c>
      <c r="AH204" s="1">
        <f>IFERROR(Table2[[#This Row],[Food_PIN]]*$V204,)</f>
        <v>0</v>
      </c>
      <c r="AI204" s="1">
        <f>IFERROR(Table2[[#This Row],[Protection_CP_PIN]]*$V204,)</f>
        <v>0</v>
      </c>
      <c r="AJ204" s="1">
        <f>IFERROR(Table2[[#This Row],[Protection_GBV_PIN]]*$V204,)</f>
        <v>0</v>
      </c>
      <c r="AK204" s="1">
        <f>IFERROR(Table2[[#This Row],[Protection_MA_PIN]]*$V204,)</f>
        <v>0</v>
      </c>
      <c r="AL204" s="1">
        <f>IFERROR(Table2[[#This Row],[Health_PIN]]*$W204,)</f>
        <v>0</v>
      </c>
      <c r="AM204" s="1">
        <f>IFERROR(Table2[[#This Row],[CCCM_PIN]]*$W204,)</f>
        <v>0</v>
      </c>
      <c r="AN204" s="1">
        <f>IFERROR(Table2[[#This Row],[ERL_PIN]]*$W204,)</f>
        <v>0</v>
      </c>
      <c r="AO204" s="1">
        <f>IFERROR(Table2[[#This Row],[NFI_PIN]]*$W204,)</f>
        <v>0</v>
      </c>
      <c r="AP204" s="1">
        <f>IFERROR(Table2[[#This Row],[Nutrition_PIN]]*$W204,)</f>
        <v>0</v>
      </c>
      <c r="AQ204" s="1">
        <f>IFERROR(Table2[[#This Row],[Education_PIN]]*$W204,)</f>
        <v>0</v>
      </c>
      <c r="AR204" s="1">
        <f>IFERROR(Table2[[#This Row],[Shelter_PIN]]*$W204,)</f>
        <v>0</v>
      </c>
      <c r="AS204" s="1">
        <f>IFERROR(Table2[[#This Row],[WASH_PIN]]*$W204,)</f>
        <v>0</v>
      </c>
      <c r="AT204" s="1">
        <f>IFERROR(Table2[[#This Row],[WASH_acute_PIN]]*$W204,)</f>
        <v>0</v>
      </c>
      <c r="AU204" s="1">
        <f>IFERROR(Table2[[#This Row],[Protection_PIN]]*$W204,)</f>
        <v>0</v>
      </c>
      <c r="AV204" s="1">
        <f>IFERROR(Table2[[#This Row],[Food_PIN]]*$W204,)</f>
        <v>0</v>
      </c>
      <c r="AW204" s="1">
        <f>IFERROR(Table2[[#This Row],[Protection_CP_PIN]]*$W204,)</f>
        <v>0</v>
      </c>
      <c r="AX204" s="1">
        <f>IFERROR(Table2[[#This Row],[Protection_GBV_PIN]]*$W204,)</f>
        <v>0</v>
      </c>
      <c r="AY204" s="1">
        <f>IFERROR(Table2[[#This Row],[Protection_MA_PIN]]*$W204,)</f>
        <v>0</v>
      </c>
      <c r="AZ204" s="1">
        <v>2</v>
      </c>
      <c r="BA204" s="1">
        <v>3</v>
      </c>
      <c r="BB204" s="1">
        <v>4</v>
      </c>
      <c r="BC204" s="1">
        <v>2</v>
      </c>
      <c r="BD204" s="1">
        <v>3</v>
      </c>
      <c r="BE204" s="1">
        <v>3</v>
      </c>
      <c r="BF204" s="1">
        <v>4</v>
      </c>
      <c r="BG204" s="1">
        <v>4</v>
      </c>
      <c r="BH204" s="1">
        <v>3</v>
      </c>
      <c r="BI204" s="1">
        <v>4</v>
      </c>
      <c r="BJ204" s="1">
        <v>3</v>
      </c>
      <c r="BK204" s="1" t="s">
        <v>665</v>
      </c>
      <c r="BL204" s="1">
        <v>2</v>
      </c>
    </row>
    <row r="205" spans="1:64" x14ac:dyDescent="0.35">
      <c r="A205" t="s">
        <v>168</v>
      </c>
      <c r="B205" t="s">
        <v>681</v>
      </c>
      <c r="C205" t="s">
        <v>169</v>
      </c>
      <c r="D205" t="s">
        <v>512</v>
      </c>
      <c r="E205" t="s">
        <v>893</v>
      </c>
      <c r="F205" t="s">
        <v>513</v>
      </c>
      <c r="G205" t="s">
        <v>512</v>
      </c>
      <c r="H205" s="1">
        <v>23777</v>
      </c>
      <c r="I205" s="1" t="s">
        <v>665</v>
      </c>
      <c r="J205" s="1">
        <v>44709</v>
      </c>
      <c r="K205" s="1">
        <v>9511</v>
      </c>
      <c r="L205" s="1">
        <v>12763.739819141949</v>
      </c>
      <c r="M205" s="1">
        <v>5096.5906642846912</v>
      </c>
      <c r="N205" s="1">
        <v>9511</v>
      </c>
      <c r="O205" s="1">
        <v>2772.222222222224</v>
      </c>
      <c r="P205" s="1">
        <v>0</v>
      </c>
      <c r="Q205" s="1">
        <v>38043</v>
      </c>
      <c r="R205" s="1">
        <v>18052.907407407409</v>
      </c>
      <c r="S205" s="1">
        <v>12518.7</v>
      </c>
      <c r="T205" s="1">
        <v>20971</v>
      </c>
      <c r="U205" s="1" t="s">
        <v>665</v>
      </c>
      <c r="V205" s="3">
        <f>_xlfn.XLOOKUP(Table2[[#This Row],[admin3Pcode]],'Inter-sector dataset'!F:F,'Inter-sector dataset'!Q:Q)</f>
        <v>0</v>
      </c>
      <c r="W205" s="3">
        <f>_xlfn.XLOOKUP(Table2[[#This Row],[admin3Pcode]],'Inter-sector dataset'!F:F,'Inter-sector dataset'!R:R)</f>
        <v>0</v>
      </c>
      <c r="X205" s="1">
        <f>IFERROR(Table2[[#This Row],[Health_PIN]]*$V205,)</f>
        <v>0</v>
      </c>
      <c r="Y205" s="1">
        <f>IFERROR(Table2[[#This Row],[CCCM_PIN]]*$V205,)</f>
        <v>0</v>
      </c>
      <c r="Z205" s="1">
        <f>IFERROR(Table2[[#This Row],[ERL_PIN]]*$V205,)</f>
        <v>0</v>
      </c>
      <c r="AA205" s="1">
        <f>IFERROR(Table2[[#This Row],[NFI_PIN]]*$V205,)</f>
        <v>0</v>
      </c>
      <c r="AB205" s="1">
        <f>IFERROR(Table2[[#This Row],[Nutrition_PIN]]*$V205,)</f>
        <v>0</v>
      </c>
      <c r="AC205" s="1">
        <f>IFERROR(Table2[[#This Row],[Education_PIN]]*$V205,)</f>
        <v>0</v>
      </c>
      <c r="AD205" s="1">
        <f>IFERROR(Table2[[#This Row],[Shelter_PIN]]*$V205,)</f>
        <v>0</v>
      </c>
      <c r="AE205" s="1">
        <f>IFERROR(Table2[[#This Row],[WASH_PIN]]*$V205,)</f>
        <v>0</v>
      </c>
      <c r="AF205" s="1">
        <f>IFERROR(Table2[[#This Row],[WASH_acute_PIN]]*$V205,)</f>
        <v>0</v>
      </c>
      <c r="AG205" s="1">
        <f>IFERROR(Table2[[#This Row],[Protection_PIN]]*$V205,)</f>
        <v>0</v>
      </c>
      <c r="AH205" s="1">
        <f>IFERROR(Table2[[#This Row],[Food_PIN]]*$V205,)</f>
        <v>0</v>
      </c>
      <c r="AI205" s="1">
        <f>IFERROR(Table2[[#This Row],[Protection_CP_PIN]]*$V205,)</f>
        <v>0</v>
      </c>
      <c r="AJ205" s="1">
        <f>IFERROR(Table2[[#This Row],[Protection_GBV_PIN]]*$V205,)</f>
        <v>0</v>
      </c>
      <c r="AK205" s="1">
        <f>IFERROR(Table2[[#This Row],[Protection_MA_PIN]]*$V205,)</f>
        <v>0</v>
      </c>
      <c r="AL205" s="1">
        <f>IFERROR(Table2[[#This Row],[Health_PIN]]*$W205,)</f>
        <v>0</v>
      </c>
      <c r="AM205" s="1">
        <f>IFERROR(Table2[[#This Row],[CCCM_PIN]]*$W205,)</f>
        <v>0</v>
      </c>
      <c r="AN205" s="1">
        <f>IFERROR(Table2[[#This Row],[ERL_PIN]]*$W205,)</f>
        <v>0</v>
      </c>
      <c r="AO205" s="1">
        <f>IFERROR(Table2[[#This Row],[NFI_PIN]]*$W205,)</f>
        <v>0</v>
      </c>
      <c r="AP205" s="1">
        <f>IFERROR(Table2[[#This Row],[Nutrition_PIN]]*$W205,)</f>
        <v>0</v>
      </c>
      <c r="AQ205" s="1">
        <f>IFERROR(Table2[[#This Row],[Education_PIN]]*$W205,)</f>
        <v>0</v>
      </c>
      <c r="AR205" s="1">
        <f>IFERROR(Table2[[#This Row],[Shelter_PIN]]*$W205,)</f>
        <v>0</v>
      </c>
      <c r="AS205" s="1">
        <f>IFERROR(Table2[[#This Row],[WASH_PIN]]*$W205,)</f>
        <v>0</v>
      </c>
      <c r="AT205" s="1">
        <f>IFERROR(Table2[[#This Row],[WASH_acute_PIN]]*$W205,)</f>
        <v>0</v>
      </c>
      <c r="AU205" s="1">
        <f>IFERROR(Table2[[#This Row],[Protection_PIN]]*$W205,)</f>
        <v>0</v>
      </c>
      <c r="AV205" s="1">
        <f>IFERROR(Table2[[#This Row],[Food_PIN]]*$W205,)</f>
        <v>0</v>
      </c>
      <c r="AW205" s="1">
        <f>IFERROR(Table2[[#This Row],[Protection_CP_PIN]]*$W205,)</f>
        <v>0</v>
      </c>
      <c r="AX205" s="1">
        <f>IFERROR(Table2[[#This Row],[Protection_GBV_PIN]]*$W205,)</f>
        <v>0</v>
      </c>
      <c r="AY205" s="1">
        <f>IFERROR(Table2[[#This Row],[Protection_MA_PIN]]*$W205,)</f>
        <v>0</v>
      </c>
      <c r="AZ205" s="1">
        <v>2</v>
      </c>
      <c r="BA205" s="1">
        <v>3</v>
      </c>
      <c r="BB205" s="1">
        <v>3</v>
      </c>
      <c r="BC205" s="1">
        <v>2</v>
      </c>
      <c r="BD205" s="1">
        <v>3</v>
      </c>
      <c r="BE205" s="1">
        <v>3</v>
      </c>
      <c r="BF205" s="1">
        <v>4</v>
      </c>
      <c r="BG205" s="1">
        <v>4</v>
      </c>
      <c r="BH205" s="1">
        <v>4</v>
      </c>
      <c r="BI205" s="1">
        <v>4</v>
      </c>
      <c r="BJ205" s="1">
        <v>3</v>
      </c>
      <c r="BK205" s="1" t="s">
        <v>665</v>
      </c>
      <c r="BL205" s="1">
        <v>2</v>
      </c>
    </row>
    <row r="206" spans="1:64" x14ac:dyDescent="0.35">
      <c r="A206" t="s">
        <v>54</v>
      </c>
      <c r="B206" t="s">
        <v>709</v>
      </c>
      <c r="C206" t="s">
        <v>55</v>
      </c>
      <c r="D206" t="s">
        <v>294</v>
      </c>
      <c r="E206" t="s">
        <v>894</v>
      </c>
      <c r="F206" t="s">
        <v>295</v>
      </c>
      <c r="G206" t="s">
        <v>294</v>
      </c>
      <c r="H206" s="1">
        <v>35811.75</v>
      </c>
      <c r="I206" s="1">
        <v>1907</v>
      </c>
      <c r="J206" s="1">
        <v>33730</v>
      </c>
      <c r="K206" s="1">
        <v>14062</v>
      </c>
      <c r="L206" s="1">
        <v>16768.006235106091</v>
      </c>
      <c r="M206" s="1">
        <v>20266.25</v>
      </c>
      <c r="N206" s="1">
        <v>23771</v>
      </c>
      <c r="O206" s="1">
        <v>47748.999999999993</v>
      </c>
      <c r="P206" s="1">
        <v>45359</v>
      </c>
      <c r="Q206" s="1">
        <v>38199</v>
      </c>
      <c r="R206" s="1">
        <v>45282.78571428571</v>
      </c>
      <c r="S206" s="1">
        <v>16059.6</v>
      </c>
      <c r="T206" s="1">
        <v>22139</v>
      </c>
      <c r="U206" s="1">
        <v>26606</v>
      </c>
      <c r="V206" s="3">
        <f>_xlfn.XLOOKUP(Table2[[#This Row],[admin3Pcode]],'Inter-sector dataset'!F:F,'Inter-sector dataset'!Q:Q)</f>
        <v>1</v>
      </c>
      <c r="W206" s="3">
        <f>_xlfn.XLOOKUP(Table2[[#This Row],[admin3Pcode]],'Inter-sector dataset'!F:F,'Inter-sector dataset'!R:R)</f>
        <v>0</v>
      </c>
      <c r="X206" s="1">
        <f>IFERROR(Table2[[#This Row],[Health_PIN]]*$V206,)</f>
        <v>35811.75</v>
      </c>
      <c r="Y206" s="1">
        <f>IFERROR(Table2[[#This Row],[CCCM_PIN]]*$V206,)</f>
        <v>1907</v>
      </c>
      <c r="Z206" s="1">
        <f>IFERROR(Table2[[#This Row],[ERL_PIN]]*$V206,)</f>
        <v>33730</v>
      </c>
      <c r="AA206" s="1">
        <f>IFERROR(Table2[[#This Row],[NFI_PIN]]*$V206,)</f>
        <v>14062</v>
      </c>
      <c r="AB206" s="1">
        <f>IFERROR(Table2[[#This Row],[Nutrition_PIN]]*$V206,)</f>
        <v>16768.006235106091</v>
      </c>
      <c r="AC206" s="1">
        <f>IFERROR(Table2[[#This Row],[Education_PIN]]*$V206,)</f>
        <v>20266.25</v>
      </c>
      <c r="AD206" s="1">
        <f>IFERROR(Table2[[#This Row],[Shelter_PIN]]*$V206,)</f>
        <v>23771</v>
      </c>
      <c r="AE206" s="1">
        <f>IFERROR(Table2[[#This Row],[WASH_PIN]]*$V206,)</f>
        <v>47748.999999999993</v>
      </c>
      <c r="AF206" s="1">
        <f>IFERROR(Table2[[#This Row],[WASH_acute_PIN]]*$V206,)</f>
        <v>45359</v>
      </c>
      <c r="AG206" s="1">
        <f>IFERROR(Table2[[#This Row],[Protection_PIN]]*$V206,)</f>
        <v>38199</v>
      </c>
      <c r="AH206" s="1">
        <f>IFERROR(Table2[[#This Row],[Food_PIN]]*$V206,)</f>
        <v>45282.78571428571</v>
      </c>
      <c r="AI206" s="1">
        <f>IFERROR(Table2[[#This Row],[Protection_CP_PIN]]*$V206,)</f>
        <v>16059.6</v>
      </c>
      <c r="AJ206" s="1">
        <f>IFERROR(Table2[[#This Row],[Protection_GBV_PIN]]*$V206,)</f>
        <v>22139</v>
      </c>
      <c r="AK206" s="1">
        <f>IFERROR(Table2[[#This Row],[Protection_MA_PIN]]*$V206,)</f>
        <v>26606</v>
      </c>
      <c r="AL206" s="1">
        <f>IFERROR(Table2[[#This Row],[Health_PIN]]*$W206,)</f>
        <v>0</v>
      </c>
      <c r="AM206" s="1">
        <f>IFERROR(Table2[[#This Row],[CCCM_PIN]]*$W206,)</f>
        <v>0</v>
      </c>
      <c r="AN206" s="1">
        <f>IFERROR(Table2[[#This Row],[ERL_PIN]]*$W206,)</f>
        <v>0</v>
      </c>
      <c r="AO206" s="1">
        <f>IFERROR(Table2[[#This Row],[NFI_PIN]]*$W206,)</f>
        <v>0</v>
      </c>
      <c r="AP206" s="1">
        <f>IFERROR(Table2[[#This Row],[Nutrition_PIN]]*$W206,)</f>
        <v>0</v>
      </c>
      <c r="AQ206" s="1">
        <f>IFERROR(Table2[[#This Row],[Education_PIN]]*$W206,)</f>
        <v>0</v>
      </c>
      <c r="AR206" s="1">
        <f>IFERROR(Table2[[#This Row],[Shelter_PIN]]*$W206,)</f>
        <v>0</v>
      </c>
      <c r="AS206" s="1">
        <f>IFERROR(Table2[[#This Row],[WASH_PIN]]*$W206,)</f>
        <v>0</v>
      </c>
      <c r="AT206" s="1">
        <f>IFERROR(Table2[[#This Row],[WASH_acute_PIN]]*$W206,)</f>
        <v>0</v>
      </c>
      <c r="AU206" s="1">
        <f>IFERROR(Table2[[#This Row],[Protection_PIN]]*$W206,)</f>
        <v>0</v>
      </c>
      <c r="AV206" s="1">
        <f>IFERROR(Table2[[#This Row],[Food_PIN]]*$W206,)</f>
        <v>0</v>
      </c>
      <c r="AW206" s="1">
        <f>IFERROR(Table2[[#This Row],[Protection_CP_PIN]]*$W206,)</f>
        <v>0</v>
      </c>
      <c r="AX206" s="1">
        <f>IFERROR(Table2[[#This Row],[Protection_GBV_PIN]]*$W206,)</f>
        <v>0</v>
      </c>
      <c r="AY206" s="1">
        <f>IFERROR(Table2[[#This Row],[Protection_MA_PIN]]*$W206,)</f>
        <v>0</v>
      </c>
      <c r="AZ206" s="1">
        <v>4</v>
      </c>
      <c r="BA206" s="1">
        <v>4</v>
      </c>
      <c r="BB206" s="1">
        <v>5</v>
      </c>
      <c r="BC206" s="1">
        <v>3</v>
      </c>
      <c r="BD206" s="1">
        <v>3</v>
      </c>
      <c r="BE206" s="1">
        <v>4</v>
      </c>
      <c r="BF206" s="1">
        <v>4</v>
      </c>
      <c r="BG206" s="1">
        <v>3</v>
      </c>
      <c r="BH206" s="1">
        <v>4</v>
      </c>
      <c r="BI206" s="1">
        <v>4</v>
      </c>
      <c r="BJ206" s="1">
        <v>4</v>
      </c>
      <c r="BK206" s="1">
        <v>3</v>
      </c>
      <c r="BL206" s="1">
        <v>4</v>
      </c>
    </row>
    <row r="207" spans="1:64" x14ac:dyDescent="0.35">
      <c r="A207" t="s">
        <v>200</v>
      </c>
      <c r="B207" t="s">
        <v>683</v>
      </c>
      <c r="C207" t="s">
        <v>201</v>
      </c>
      <c r="D207" t="s">
        <v>333</v>
      </c>
      <c r="E207" t="s">
        <v>895</v>
      </c>
      <c r="F207" t="s">
        <v>334</v>
      </c>
      <c r="G207" t="s">
        <v>333</v>
      </c>
      <c r="H207" s="1">
        <v>47788</v>
      </c>
      <c r="I207" s="1">
        <v>5597</v>
      </c>
      <c r="J207" s="1">
        <v>35892</v>
      </c>
      <c r="K207" s="1">
        <v>13862</v>
      </c>
      <c r="L207" s="1">
        <v>11476.886531001579</v>
      </c>
      <c r="M207" s="1">
        <v>10917.536726688619</v>
      </c>
      <c r="N207" s="1">
        <v>15719</v>
      </c>
      <c r="O207" s="1">
        <v>47788</v>
      </c>
      <c r="P207" s="1">
        <v>45629</v>
      </c>
      <c r="Q207" s="1">
        <v>38230</v>
      </c>
      <c r="R207" s="1">
        <v>29249.551724137931</v>
      </c>
      <c r="S207" s="1">
        <v>15399</v>
      </c>
      <c r="T207" s="1">
        <v>27582</v>
      </c>
      <c r="U207" s="1">
        <v>47673</v>
      </c>
      <c r="V207" s="3">
        <f>_xlfn.XLOOKUP(Table2[[#This Row],[admin3Pcode]],'Inter-sector dataset'!F:F,'Inter-sector dataset'!Q:Q)</f>
        <v>0</v>
      </c>
      <c r="W207" s="3">
        <f>_xlfn.XLOOKUP(Table2[[#This Row],[admin3Pcode]],'Inter-sector dataset'!F:F,'Inter-sector dataset'!R:R)</f>
        <v>0</v>
      </c>
      <c r="X207" s="1">
        <f>IFERROR(Table2[[#This Row],[Health_PIN]]*$V207,)</f>
        <v>0</v>
      </c>
      <c r="Y207" s="1">
        <f>IFERROR(Table2[[#This Row],[CCCM_PIN]]*$V207,)</f>
        <v>0</v>
      </c>
      <c r="Z207" s="1">
        <f>IFERROR(Table2[[#This Row],[ERL_PIN]]*$V207,)</f>
        <v>0</v>
      </c>
      <c r="AA207" s="1">
        <f>IFERROR(Table2[[#This Row],[NFI_PIN]]*$V207,)</f>
        <v>0</v>
      </c>
      <c r="AB207" s="1">
        <f>IFERROR(Table2[[#This Row],[Nutrition_PIN]]*$V207,)</f>
        <v>0</v>
      </c>
      <c r="AC207" s="1">
        <f>IFERROR(Table2[[#This Row],[Education_PIN]]*$V207,)</f>
        <v>0</v>
      </c>
      <c r="AD207" s="1">
        <f>IFERROR(Table2[[#This Row],[Shelter_PIN]]*$V207,)</f>
        <v>0</v>
      </c>
      <c r="AE207" s="1">
        <f>IFERROR(Table2[[#This Row],[WASH_PIN]]*$V207,)</f>
        <v>0</v>
      </c>
      <c r="AF207" s="1">
        <f>IFERROR(Table2[[#This Row],[WASH_acute_PIN]]*$V207,)</f>
        <v>0</v>
      </c>
      <c r="AG207" s="1">
        <f>IFERROR(Table2[[#This Row],[Protection_PIN]]*$V207,)</f>
        <v>0</v>
      </c>
      <c r="AH207" s="1">
        <f>IFERROR(Table2[[#This Row],[Food_PIN]]*$V207,)</f>
        <v>0</v>
      </c>
      <c r="AI207" s="1">
        <f>IFERROR(Table2[[#This Row],[Protection_CP_PIN]]*$V207,)</f>
        <v>0</v>
      </c>
      <c r="AJ207" s="1">
        <f>IFERROR(Table2[[#This Row],[Protection_GBV_PIN]]*$V207,)</f>
        <v>0</v>
      </c>
      <c r="AK207" s="1">
        <f>IFERROR(Table2[[#This Row],[Protection_MA_PIN]]*$V207,)</f>
        <v>0</v>
      </c>
      <c r="AL207" s="1">
        <f>IFERROR(Table2[[#This Row],[Health_PIN]]*$W207,)</f>
        <v>0</v>
      </c>
      <c r="AM207" s="1">
        <f>IFERROR(Table2[[#This Row],[CCCM_PIN]]*$W207,)</f>
        <v>0</v>
      </c>
      <c r="AN207" s="1">
        <f>IFERROR(Table2[[#This Row],[ERL_PIN]]*$W207,)</f>
        <v>0</v>
      </c>
      <c r="AO207" s="1">
        <f>IFERROR(Table2[[#This Row],[NFI_PIN]]*$W207,)</f>
        <v>0</v>
      </c>
      <c r="AP207" s="1">
        <f>IFERROR(Table2[[#This Row],[Nutrition_PIN]]*$W207,)</f>
        <v>0</v>
      </c>
      <c r="AQ207" s="1">
        <f>IFERROR(Table2[[#This Row],[Education_PIN]]*$W207,)</f>
        <v>0</v>
      </c>
      <c r="AR207" s="1">
        <f>IFERROR(Table2[[#This Row],[Shelter_PIN]]*$W207,)</f>
        <v>0</v>
      </c>
      <c r="AS207" s="1">
        <f>IFERROR(Table2[[#This Row],[WASH_PIN]]*$W207,)</f>
        <v>0</v>
      </c>
      <c r="AT207" s="1">
        <f>IFERROR(Table2[[#This Row],[WASH_acute_PIN]]*$W207,)</f>
        <v>0</v>
      </c>
      <c r="AU207" s="1">
        <f>IFERROR(Table2[[#This Row],[Protection_PIN]]*$W207,)</f>
        <v>0</v>
      </c>
      <c r="AV207" s="1">
        <f>IFERROR(Table2[[#This Row],[Food_PIN]]*$W207,)</f>
        <v>0</v>
      </c>
      <c r="AW207" s="1">
        <f>IFERROR(Table2[[#This Row],[Protection_CP_PIN]]*$W207,)</f>
        <v>0</v>
      </c>
      <c r="AX207" s="1">
        <f>IFERROR(Table2[[#This Row],[Protection_GBV_PIN]]*$W207,)</f>
        <v>0</v>
      </c>
      <c r="AY207" s="1">
        <f>IFERROR(Table2[[#This Row],[Protection_MA_PIN]]*$W207,)</f>
        <v>0</v>
      </c>
      <c r="AZ207" s="1">
        <v>4</v>
      </c>
      <c r="BA207" s="1">
        <v>3</v>
      </c>
      <c r="BB207" s="1">
        <v>4</v>
      </c>
      <c r="BC207" s="1">
        <v>4</v>
      </c>
      <c r="BD207" s="1">
        <v>3</v>
      </c>
      <c r="BE207" s="1">
        <v>5</v>
      </c>
      <c r="BF207" s="1">
        <v>4</v>
      </c>
      <c r="BG207" s="1">
        <v>4</v>
      </c>
      <c r="BH207" s="1">
        <v>5</v>
      </c>
      <c r="BI207" s="1">
        <v>4</v>
      </c>
      <c r="BJ207" s="1">
        <v>3</v>
      </c>
      <c r="BK207" s="1">
        <v>5</v>
      </c>
      <c r="BL207" s="1">
        <v>4</v>
      </c>
    </row>
    <row r="208" spans="1:64" x14ac:dyDescent="0.35">
      <c r="A208" t="s">
        <v>184</v>
      </c>
      <c r="B208" t="s">
        <v>730</v>
      </c>
      <c r="C208" t="s">
        <v>185</v>
      </c>
      <c r="D208" t="s">
        <v>403</v>
      </c>
      <c r="E208" t="s">
        <v>896</v>
      </c>
      <c r="F208" t="s">
        <v>404</v>
      </c>
      <c r="G208" t="s">
        <v>403</v>
      </c>
      <c r="H208" s="1">
        <v>48749</v>
      </c>
      <c r="I208" s="1" t="s">
        <v>665</v>
      </c>
      <c r="J208" s="1">
        <v>27849</v>
      </c>
      <c r="K208" s="1">
        <v>14534</v>
      </c>
      <c r="L208" s="1">
        <v>11773.196630803148</v>
      </c>
      <c r="M208" s="1">
        <v>18515.783333333333</v>
      </c>
      <c r="N208" s="1">
        <v>14534</v>
      </c>
      <c r="O208" s="1">
        <v>48749</v>
      </c>
      <c r="P208" s="1">
        <v>14986</v>
      </c>
      <c r="Q208" s="1">
        <v>38999</v>
      </c>
      <c r="R208" s="1">
        <v>24374.5</v>
      </c>
      <c r="S208" s="1">
        <v>14406.9</v>
      </c>
      <c r="T208" s="1">
        <v>20821</v>
      </c>
      <c r="U208" s="1">
        <v>719</v>
      </c>
      <c r="V208" s="3">
        <f>_xlfn.XLOOKUP(Table2[[#This Row],[admin3Pcode]],'Inter-sector dataset'!F:F,'Inter-sector dataset'!Q:Q)</f>
        <v>0</v>
      </c>
      <c r="W208" s="3">
        <f>_xlfn.XLOOKUP(Table2[[#This Row],[admin3Pcode]],'Inter-sector dataset'!F:F,'Inter-sector dataset'!R:R)</f>
        <v>0</v>
      </c>
      <c r="X208" s="1">
        <f>IFERROR(Table2[[#This Row],[Health_PIN]]*$V208,)</f>
        <v>0</v>
      </c>
      <c r="Y208" s="1">
        <f>IFERROR(Table2[[#This Row],[CCCM_PIN]]*$V208,)</f>
        <v>0</v>
      </c>
      <c r="Z208" s="1">
        <f>IFERROR(Table2[[#This Row],[ERL_PIN]]*$V208,)</f>
        <v>0</v>
      </c>
      <c r="AA208" s="1">
        <f>IFERROR(Table2[[#This Row],[NFI_PIN]]*$V208,)</f>
        <v>0</v>
      </c>
      <c r="AB208" s="1">
        <f>IFERROR(Table2[[#This Row],[Nutrition_PIN]]*$V208,)</f>
        <v>0</v>
      </c>
      <c r="AC208" s="1">
        <f>IFERROR(Table2[[#This Row],[Education_PIN]]*$V208,)</f>
        <v>0</v>
      </c>
      <c r="AD208" s="1">
        <f>IFERROR(Table2[[#This Row],[Shelter_PIN]]*$V208,)</f>
        <v>0</v>
      </c>
      <c r="AE208" s="1">
        <f>IFERROR(Table2[[#This Row],[WASH_PIN]]*$V208,)</f>
        <v>0</v>
      </c>
      <c r="AF208" s="1">
        <f>IFERROR(Table2[[#This Row],[WASH_acute_PIN]]*$V208,)</f>
        <v>0</v>
      </c>
      <c r="AG208" s="1">
        <f>IFERROR(Table2[[#This Row],[Protection_PIN]]*$V208,)</f>
        <v>0</v>
      </c>
      <c r="AH208" s="1">
        <f>IFERROR(Table2[[#This Row],[Food_PIN]]*$V208,)</f>
        <v>0</v>
      </c>
      <c r="AI208" s="1">
        <f>IFERROR(Table2[[#This Row],[Protection_CP_PIN]]*$V208,)</f>
        <v>0</v>
      </c>
      <c r="AJ208" s="1">
        <f>IFERROR(Table2[[#This Row],[Protection_GBV_PIN]]*$V208,)</f>
        <v>0</v>
      </c>
      <c r="AK208" s="1">
        <f>IFERROR(Table2[[#This Row],[Protection_MA_PIN]]*$V208,)</f>
        <v>0</v>
      </c>
      <c r="AL208" s="1">
        <f>IFERROR(Table2[[#This Row],[Health_PIN]]*$W208,)</f>
        <v>0</v>
      </c>
      <c r="AM208" s="1">
        <f>IFERROR(Table2[[#This Row],[CCCM_PIN]]*$W208,)</f>
        <v>0</v>
      </c>
      <c r="AN208" s="1">
        <f>IFERROR(Table2[[#This Row],[ERL_PIN]]*$W208,)</f>
        <v>0</v>
      </c>
      <c r="AO208" s="1">
        <f>IFERROR(Table2[[#This Row],[NFI_PIN]]*$W208,)</f>
        <v>0</v>
      </c>
      <c r="AP208" s="1">
        <f>IFERROR(Table2[[#This Row],[Nutrition_PIN]]*$W208,)</f>
        <v>0</v>
      </c>
      <c r="AQ208" s="1">
        <f>IFERROR(Table2[[#This Row],[Education_PIN]]*$W208,)</f>
        <v>0</v>
      </c>
      <c r="AR208" s="1">
        <f>IFERROR(Table2[[#This Row],[Shelter_PIN]]*$W208,)</f>
        <v>0</v>
      </c>
      <c r="AS208" s="1">
        <f>IFERROR(Table2[[#This Row],[WASH_PIN]]*$W208,)</f>
        <v>0</v>
      </c>
      <c r="AT208" s="1">
        <f>IFERROR(Table2[[#This Row],[WASH_acute_PIN]]*$W208,)</f>
        <v>0</v>
      </c>
      <c r="AU208" s="1">
        <f>IFERROR(Table2[[#This Row],[Protection_PIN]]*$W208,)</f>
        <v>0</v>
      </c>
      <c r="AV208" s="1">
        <f>IFERROR(Table2[[#This Row],[Food_PIN]]*$W208,)</f>
        <v>0</v>
      </c>
      <c r="AW208" s="1">
        <f>IFERROR(Table2[[#This Row],[Protection_CP_PIN]]*$W208,)</f>
        <v>0</v>
      </c>
      <c r="AX208" s="1">
        <f>IFERROR(Table2[[#This Row],[Protection_GBV_PIN]]*$W208,)</f>
        <v>0</v>
      </c>
      <c r="AY208" s="1">
        <f>IFERROR(Table2[[#This Row],[Protection_MA_PIN]]*$W208,)</f>
        <v>0</v>
      </c>
      <c r="AZ208" s="1">
        <v>4</v>
      </c>
      <c r="BA208" s="1">
        <v>3</v>
      </c>
      <c r="BB208" s="1">
        <v>4</v>
      </c>
      <c r="BC208" s="1">
        <v>4</v>
      </c>
      <c r="BD208" s="1">
        <v>3</v>
      </c>
      <c r="BE208" s="1">
        <v>5</v>
      </c>
      <c r="BF208" s="1">
        <v>4</v>
      </c>
      <c r="BG208" s="1">
        <v>4</v>
      </c>
      <c r="BH208" s="1">
        <v>4</v>
      </c>
      <c r="BI208" s="1">
        <v>4</v>
      </c>
      <c r="BJ208" s="1">
        <v>3</v>
      </c>
      <c r="BK208" s="1" t="s">
        <v>665</v>
      </c>
      <c r="BL208" s="1">
        <v>4</v>
      </c>
    </row>
    <row r="209" spans="1:64" x14ac:dyDescent="0.35">
      <c r="A209" t="s">
        <v>157</v>
      </c>
      <c r="B209" t="s">
        <v>748</v>
      </c>
      <c r="C209" t="s">
        <v>158</v>
      </c>
      <c r="D209" t="s">
        <v>450</v>
      </c>
      <c r="E209" t="s">
        <v>897</v>
      </c>
      <c r="F209" t="s">
        <v>451</v>
      </c>
      <c r="G209" t="s">
        <v>450</v>
      </c>
      <c r="H209" s="1">
        <v>37353</v>
      </c>
      <c r="I209" s="1" t="s">
        <v>665</v>
      </c>
      <c r="J209" s="1">
        <v>30640</v>
      </c>
      <c r="K209" s="1">
        <v>6610</v>
      </c>
      <c r="L209" s="1">
        <v>18396.272477989143</v>
      </c>
      <c r="M209" s="1">
        <v>17523.842416539366</v>
      </c>
      <c r="N209" s="1">
        <v>9961</v>
      </c>
      <c r="O209" s="1">
        <v>38531.408781024802</v>
      </c>
      <c r="P209" s="1">
        <v>24932</v>
      </c>
      <c r="Q209" s="1">
        <v>39843</v>
      </c>
      <c r="R209" s="1">
        <v>37746.189473684208</v>
      </c>
      <c r="S209" s="1">
        <v>19475.400000000001</v>
      </c>
      <c r="T209" s="1">
        <v>21506</v>
      </c>
      <c r="U209" s="1">
        <v>48219</v>
      </c>
      <c r="V209" s="3">
        <f>_xlfn.XLOOKUP(Table2[[#This Row],[admin3Pcode]],'Inter-sector dataset'!F:F,'Inter-sector dataset'!Q:Q)</f>
        <v>0</v>
      </c>
      <c r="W209" s="3">
        <f>_xlfn.XLOOKUP(Table2[[#This Row],[admin3Pcode]],'Inter-sector dataset'!F:F,'Inter-sector dataset'!R:R)</f>
        <v>0</v>
      </c>
      <c r="X209" s="1">
        <f>IFERROR(Table2[[#This Row],[Health_PIN]]*$V209,)</f>
        <v>0</v>
      </c>
      <c r="Y209" s="1">
        <f>IFERROR(Table2[[#This Row],[CCCM_PIN]]*$V209,)</f>
        <v>0</v>
      </c>
      <c r="Z209" s="1">
        <f>IFERROR(Table2[[#This Row],[ERL_PIN]]*$V209,)</f>
        <v>0</v>
      </c>
      <c r="AA209" s="1">
        <f>IFERROR(Table2[[#This Row],[NFI_PIN]]*$V209,)</f>
        <v>0</v>
      </c>
      <c r="AB209" s="1">
        <f>IFERROR(Table2[[#This Row],[Nutrition_PIN]]*$V209,)</f>
        <v>0</v>
      </c>
      <c r="AC209" s="1">
        <f>IFERROR(Table2[[#This Row],[Education_PIN]]*$V209,)</f>
        <v>0</v>
      </c>
      <c r="AD209" s="1">
        <f>IFERROR(Table2[[#This Row],[Shelter_PIN]]*$V209,)</f>
        <v>0</v>
      </c>
      <c r="AE209" s="1">
        <f>IFERROR(Table2[[#This Row],[WASH_PIN]]*$V209,)</f>
        <v>0</v>
      </c>
      <c r="AF209" s="1">
        <f>IFERROR(Table2[[#This Row],[WASH_acute_PIN]]*$V209,)</f>
        <v>0</v>
      </c>
      <c r="AG209" s="1">
        <f>IFERROR(Table2[[#This Row],[Protection_PIN]]*$V209,)</f>
        <v>0</v>
      </c>
      <c r="AH209" s="1">
        <f>IFERROR(Table2[[#This Row],[Food_PIN]]*$V209,)</f>
        <v>0</v>
      </c>
      <c r="AI209" s="1">
        <f>IFERROR(Table2[[#This Row],[Protection_CP_PIN]]*$V209,)</f>
        <v>0</v>
      </c>
      <c r="AJ209" s="1">
        <f>IFERROR(Table2[[#This Row],[Protection_GBV_PIN]]*$V209,)</f>
        <v>0</v>
      </c>
      <c r="AK209" s="1">
        <f>IFERROR(Table2[[#This Row],[Protection_MA_PIN]]*$V209,)</f>
        <v>0</v>
      </c>
      <c r="AL209" s="1">
        <f>IFERROR(Table2[[#This Row],[Health_PIN]]*$W209,)</f>
        <v>0</v>
      </c>
      <c r="AM209" s="1">
        <f>IFERROR(Table2[[#This Row],[CCCM_PIN]]*$W209,)</f>
        <v>0</v>
      </c>
      <c r="AN209" s="1">
        <f>IFERROR(Table2[[#This Row],[ERL_PIN]]*$W209,)</f>
        <v>0</v>
      </c>
      <c r="AO209" s="1">
        <f>IFERROR(Table2[[#This Row],[NFI_PIN]]*$W209,)</f>
        <v>0</v>
      </c>
      <c r="AP209" s="1">
        <f>IFERROR(Table2[[#This Row],[Nutrition_PIN]]*$W209,)</f>
        <v>0</v>
      </c>
      <c r="AQ209" s="1">
        <f>IFERROR(Table2[[#This Row],[Education_PIN]]*$W209,)</f>
        <v>0</v>
      </c>
      <c r="AR209" s="1">
        <f>IFERROR(Table2[[#This Row],[Shelter_PIN]]*$W209,)</f>
        <v>0</v>
      </c>
      <c r="AS209" s="1">
        <f>IFERROR(Table2[[#This Row],[WASH_PIN]]*$W209,)</f>
        <v>0</v>
      </c>
      <c r="AT209" s="1">
        <f>IFERROR(Table2[[#This Row],[WASH_acute_PIN]]*$W209,)</f>
        <v>0</v>
      </c>
      <c r="AU209" s="1">
        <f>IFERROR(Table2[[#This Row],[Protection_PIN]]*$W209,)</f>
        <v>0</v>
      </c>
      <c r="AV209" s="1">
        <f>IFERROR(Table2[[#This Row],[Food_PIN]]*$W209,)</f>
        <v>0</v>
      </c>
      <c r="AW209" s="1">
        <f>IFERROR(Table2[[#This Row],[Protection_CP_PIN]]*$W209,)</f>
        <v>0</v>
      </c>
      <c r="AX209" s="1">
        <f>IFERROR(Table2[[#This Row],[Protection_GBV_PIN]]*$W209,)</f>
        <v>0</v>
      </c>
      <c r="AY209" s="1">
        <f>IFERROR(Table2[[#This Row],[Protection_MA_PIN]]*$W209,)</f>
        <v>0</v>
      </c>
      <c r="AZ209" s="1">
        <v>2</v>
      </c>
      <c r="BA209" s="1">
        <v>4</v>
      </c>
      <c r="BB209" s="1">
        <v>3</v>
      </c>
      <c r="BC209" s="1">
        <v>2</v>
      </c>
      <c r="BD209" s="1">
        <v>3</v>
      </c>
      <c r="BE209" s="1">
        <v>4</v>
      </c>
      <c r="BF209" s="1">
        <v>4</v>
      </c>
      <c r="BG209" s="1">
        <v>4</v>
      </c>
      <c r="BH209" s="1">
        <v>4</v>
      </c>
      <c r="BI209" s="1">
        <v>4</v>
      </c>
      <c r="BJ209" s="1">
        <v>4</v>
      </c>
      <c r="BK209" s="1" t="s">
        <v>665</v>
      </c>
      <c r="BL209" s="1">
        <v>4</v>
      </c>
    </row>
    <row r="210" spans="1:64" x14ac:dyDescent="0.35">
      <c r="A210" t="s">
        <v>168</v>
      </c>
      <c r="B210" t="s">
        <v>681</v>
      </c>
      <c r="C210" t="s">
        <v>169</v>
      </c>
      <c r="D210" t="s">
        <v>505</v>
      </c>
      <c r="E210" t="s">
        <v>898</v>
      </c>
      <c r="F210" t="s">
        <v>506</v>
      </c>
      <c r="G210" t="s">
        <v>505</v>
      </c>
      <c r="H210" s="1">
        <v>25193</v>
      </c>
      <c r="I210" s="1" t="s">
        <v>665</v>
      </c>
      <c r="J210" s="1">
        <v>39327</v>
      </c>
      <c r="K210" s="1">
        <v>10077</v>
      </c>
      <c r="L210" s="1">
        <v>12603.897906889684</v>
      </c>
      <c r="M210" s="1">
        <v>6654.8084099651251</v>
      </c>
      <c r="N210" s="1">
        <v>10077</v>
      </c>
      <c r="O210" s="1">
        <v>15256.776269300322</v>
      </c>
      <c r="P210" s="1">
        <v>6431</v>
      </c>
      <c r="Q210" s="1">
        <v>40309</v>
      </c>
      <c r="R210" s="1">
        <v>25192.999999999993</v>
      </c>
      <c r="S210" s="1">
        <v>13828.5</v>
      </c>
      <c r="T210" s="1">
        <v>23279</v>
      </c>
      <c r="U210" s="1">
        <v>17366</v>
      </c>
      <c r="V210" s="3">
        <f>_xlfn.XLOOKUP(Table2[[#This Row],[admin3Pcode]],'Inter-sector dataset'!F:F,'Inter-sector dataset'!Q:Q)</f>
        <v>0</v>
      </c>
      <c r="W210" s="3">
        <f>_xlfn.XLOOKUP(Table2[[#This Row],[admin3Pcode]],'Inter-sector dataset'!F:F,'Inter-sector dataset'!R:R)</f>
        <v>0</v>
      </c>
      <c r="X210" s="1">
        <f>IFERROR(Table2[[#This Row],[Health_PIN]]*$V210,)</f>
        <v>0</v>
      </c>
      <c r="Y210" s="1">
        <f>IFERROR(Table2[[#This Row],[CCCM_PIN]]*$V210,)</f>
        <v>0</v>
      </c>
      <c r="Z210" s="1">
        <f>IFERROR(Table2[[#This Row],[ERL_PIN]]*$V210,)</f>
        <v>0</v>
      </c>
      <c r="AA210" s="1">
        <f>IFERROR(Table2[[#This Row],[NFI_PIN]]*$V210,)</f>
        <v>0</v>
      </c>
      <c r="AB210" s="1">
        <f>IFERROR(Table2[[#This Row],[Nutrition_PIN]]*$V210,)</f>
        <v>0</v>
      </c>
      <c r="AC210" s="1">
        <f>IFERROR(Table2[[#This Row],[Education_PIN]]*$V210,)</f>
        <v>0</v>
      </c>
      <c r="AD210" s="1">
        <f>IFERROR(Table2[[#This Row],[Shelter_PIN]]*$V210,)</f>
        <v>0</v>
      </c>
      <c r="AE210" s="1">
        <f>IFERROR(Table2[[#This Row],[WASH_PIN]]*$V210,)</f>
        <v>0</v>
      </c>
      <c r="AF210" s="1">
        <f>IFERROR(Table2[[#This Row],[WASH_acute_PIN]]*$V210,)</f>
        <v>0</v>
      </c>
      <c r="AG210" s="1">
        <f>IFERROR(Table2[[#This Row],[Protection_PIN]]*$V210,)</f>
        <v>0</v>
      </c>
      <c r="AH210" s="1">
        <f>IFERROR(Table2[[#This Row],[Food_PIN]]*$V210,)</f>
        <v>0</v>
      </c>
      <c r="AI210" s="1">
        <f>IFERROR(Table2[[#This Row],[Protection_CP_PIN]]*$V210,)</f>
        <v>0</v>
      </c>
      <c r="AJ210" s="1">
        <f>IFERROR(Table2[[#This Row],[Protection_GBV_PIN]]*$V210,)</f>
        <v>0</v>
      </c>
      <c r="AK210" s="1">
        <f>IFERROR(Table2[[#This Row],[Protection_MA_PIN]]*$V210,)</f>
        <v>0</v>
      </c>
      <c r="AL210" s="1">
        <f>IFERROR(Table2[[#This Row],[Health_PIN]]*$W210,)</f>
        <v>0</v>
      </c>
      <c r="AM210" s="1">
        <f>IFERROR(Table2[[#This Row],[CCCM_PIN]]*$W210,)</f>
        <v>0</v>
      </c>
      <c r="AN210" s="1">
        <f>IFERROR(Table2[[#This Row],[ERL_PIN]]*$W210,)</f>
        <v>0</v>
      </c>
      <c r="AO210" s="1">
        <f>IFERROR(Table2[[#This Row],[NFI_PIN]]*$W210,)</f>
        <v>0</v>
      </c>
      <c r="AP210" s="1">
        <f>IFERROR(Table2[[#This Row],[Nutrition_PIN]]*$W210,)</f>
        <v>0</v>
      </c>
      <c r="AQ210" s="1">
        <f>IFERROR(Table2[[#This Row],[Education_PIN]]*$W210,)</f>
        <v>0</v>
      </c>
      <c r="AR210" s="1">
        <f>IFERROR(Table2[[#This Row],[Shelter_PIN]]*$W210,)</f>
        <v>0</v>
      </c>
      <c r="AS210" s="1">
        <f>IFERROR(Table2[[#This Row],[WASH_PIN]]*$W210,)</f>
        <v>0</v>
      </c>
      <c r="AT210" s="1">
        <f>IFERROR(Table2[[#This Row],[WASH_acute_PIN]]*$W210,)</f>
        <v>0</v>
      </c>
      <c r="AU210" s="1">
        <f>IFERROR(Table2[[#This Row],[Protection_PIN]]*$W210,)</f>
        <v>0</v>
      </c>
      <c r="AV210" s="1">
        <f>IFERROR(Table2[[#This Row],[Food_PIN]]*$W210,)</f>
        <v>0</v>
      </c>
      <c r="AW210" s="1">
        <f>IFERROR(Table2[[#This Row],[Protection_CP_PIN]]*$W210,)</f>
        <v>0</v>
      </c>
      <c r="AX210" s="1">
        <f>IFERROR(Table2[[#This Row],[Protection_GBV_PIN]]*$W210,)</f>
        <v>0</v>
      </c>
      <c r="AY210" s="1">
        <f>IFERROR(Table2[[#This Row],[Protection_MA_PIN]]*$W210,)</f>
        <v>0</v>
      </c>
      <c r="AZ210" s="1">
        <v>2</v>
      </c>
      <c r="BA210" s="1">
        <v>3</v>
      </c>
      <c r="BB210" s="1">
        <v>4</v>
      </c>
      <c r="BC210" s="1">
        <v>2</v>
      </c>
      <c r="BD210" s="1">
        <v>3</v>
      </c>
      <c r="BE210" s="1">
        <v>3</v>
      </c>
      <c r="BF210" s="1">
        <v>4</v>
      </c>
      <c r="BG210" s="1">
        <v>4</v>
      </c>
      <c r="BH210" s="1">
        <v>4</v>
      </c>
      <c r="BI210" s="1">
        <v>4</v>
      </c>
      <c r="BJ210" s="1">
        <v>3</v>
      </c>
      <c r="BK210" s="1" t="s">
        <v>665</v>
      </c>
      <c r="BL210" s="1">
        <v>3</v>
      </c>
    </row>
    <row r="211" spans="1:64" x14ac:dyDescent="0.35">
      <c r="A211" t="s">
        <v>104</v>
      </c>
      <c r="B211" t="s">
        <v>677</v>
      </c>
      <c r="C211" t="s">
        <v>105</v>
      </c>
      <c r="D211" t="s">
        <v>458</v>
      </c>
      <c r="E211" t="s">
        <v>899</v>
      </c>
      <c r="F211" t="s">
        <v>502</v>
      </c>
      <c r="G211" t="s">
        <v>458</v>
      </c>
      <c r="H211" s="1">
        <v>27445.5</v>
      </c>
      <c r="I211" s="1" t="s">
        <v>665</v>
      </c>
      <c r="J211" s="1">
        <v>54891</v>
      </c>
      <c r="K211" s="1">
        <v>12237</v>
      </c>
      <c r="L211" s="1">
        <v>14773.033610917028</v>
      </c>
      <c r="M211" s="1">
        <v>19708.766666666666</v>
      </c>
      <c r="N211" s="1">
        <v>10978</v>
      </c>
      <c r="O211" s="1">
        <v>31737.832292710438</v>
      </c>
      <c r="P211" s="1">
        <v>4560</v>
      </c>
      <c r="Q211" s="1">
        <v>43913</v>
      </c>
      <c r="R211" s="1">
        <v>29524.704545454544</v>
      </c>
      <c r="S211" s="1">
        <v>13891.8</v>
      </c>
      <c r="T211" s="1">
        <v>25861</v>
      </c>
      <c r="U211" s="1">
        <v>44359</v>
      </c>
      <c r="V211" s="3">
        <f>_xlfn.XLOOKUP(Table2[[#This Row],[admin3Pcode]],'Inter-sector dataset'!F:F,'Inter-sector dataset'!Q:Q)</f>
        <v>0</v>
      </c>
      <c r="W211" s="3">
        <f>_xlfn.XLOOKUP(Table2[[#This Row],[admin3Pcode]],'Inter-sector dataset'!F:F,'Inter-sector dataset'!R:R)</f>
        <v>0</v>
      </c>
      <c r="X211" s="1">
        <f>IFERROR(Table2[[#This Row],[Health_PIN]]*$V211,)</f>
        <v>0</v>
      </c>
      <c r="Y211" s="1">
        <f>IFERROR(Table2[[#This Row],[CCCM_PIN]]*$V211,)</f>
        <v>0</v>
      </c>
      <c r="Z211" s="1">
        <f>IFERROR(Table2[[#This Row],[ERL_PIN]]*$V211,)</f>
        <v>0</v>
      </c>
      <c r="AA211" s="1">
        <f>IFERROR(Table2[[#This Row],[NFI_PIN]]*$V211,)</f>
        <v>0</v>
      </c>
      <c r="AB211" s="1">
        <f>IFERROR(Table2[[#This Row],[Nutrition_PIN]]*$V211,)</f>
        <v>0</v>
      </c>
      <c r="AC211" s="1">
        <f>IFERROR(Table2[[#This Row],[Education_PIN]]*$V211,)</f>
        <v>0</v>
      </c>
      <c r="AD211" s="1">
        <f>IFERROR(Table2[[#This Row],[Shelter_PIN]]*$V211,)</f>
        <v>0</v>
      </c>
      <c r="AE211" s="1">
        <f>IFERROR(Table2[[#This Row],[WASH_PIN]]*$V211,)</f>
        <v>0</v>
      </c>
      <c r="AF211" s="1">
        <f>IFERROR(Table2[[#This Row],[WASH_acute_PIN]]*$V211,)</f>
        <v>0</v>
      </c>
      <c r="AG211" s="1">
        <f>IFERROR(Table2[[#This Row],[Protection_PIN]]*$V211,)</f>
        <v>0</v>
      </c>
      <c r="AH211" s="1">
        <f>IFERROR(Table2[[#This Row],[Food_PIN]]*$V211,)</f>
        <v>0</v>
      </c>
      <c r="AI211" s="1">
        <f>IFERROR(Table2[[#This Row],[Protection_CP_PIN]]*$V211,)</f>
        <v>0</v>
      </c>
      <c r="AJ211" s="1">
        <f>IFERROR(Table2[[#This Row],[Protection_GBV_PIN]]*$V211,)</f>
        <v>0</v>
      </c>
      <c r="AK211" s="1">
        <f>IFERROR(Table2[[#This Row],[Protection_MA_PIN]]*$V211,)</f>
        <v>0</v>
      </c>
      <c r="AL211" s="1">
        <f>IFERROR(Table2[[#This Row],[Health_PIN]]*$W211,)</f>
        <v>0</v>
      </c>
      <c r="AM211" s="1">
        <f>IFERROR(Table2[[#This Row],[CCCM_PIN]]*$W211,)</f>
        <v>0</v>
      </c>
      <c r="AN211" s="1">
        <f>IFERROR(Table2[[#This Row],[ERL_PIN]]*$W211,)</f>
        <v>0</v>
      </c>
      <c r="AO211" s="1">
        <f>IFERROR(Table2[[#This Row],[NFI_PIN]]*$W211,)</f>
        <v>0</v>
      </c>
      <c r="AP211" s="1">
        <f>IFERROR(Table2[[#This Row],[Nutrition_PIN]]*$W211,)</f>
        <v>0</v>
      </c>
      <c r="AQ211" s="1">
        <f>IFERROR(Table2[[#This Row],[Education_PIN]]*$W211,)</f>
        <v>0</v>
      </c>
      <c r="AR211" s="1">
        <f>IFERROR(Table2[[#This Row],[Shelter_PIN]]*$W211,)</f>
        <v>0</v>
      </c>
      <c r="AS211" s="1">
        <f>IFERROR(Table2[[#This Row],[WASH_PIN]]*$W211,)</f>
        <v>0</v>
      </c>
      <c r="AT211" s="1">
        <f>IFERROR(Table2[[#This Row],[WASH_acute_PIN]]*$W211,)</f>
        <v>0</v>
      </c>
      <c r="AU211" s="1">
        <f>IFERROR(Table2[[#This Row],[Protection_PIN]]*$W211,)</f>
        <v>0</v>
      </c>
      <c r="AV211" s="1">
        <f>IFERROR(Table2[[#This Row],[Food_PIN]]*$W211,)</f>
        <v>0</v>
      </c>
      <c r="AW211" s="1">
        <f>IFERROR(Table2[[#This Row],[Protection_CP_PIN]]*$W211,)</f>
        <v>0</v>
      </c>
      <c r="AX211" s="1">
        <f>IFERROR(Table2[[#This Row],[Protection_GBV_PIN]]*$W211,)</f>
        <v>0</v>
      </c>
      <c r="AY211" s="1">
        <f>IFERROR(Table2[[#This Row],[Protection_MA_PIN]]*$W211,)</f>
        <v>0</v>
      </c>
      <c r="AZ211" s="1">
        <v>2</v>
      </c>
      <c r="BA211" s="1">
        <v>3</v>
      </c>
      <c r="BB211" s="1">
        <v>4</v>
      </c>
      <c r="BC211" s="1">
        <v>3</v>
      </c>
      <c r="BD211" s="1">
        <v>4</v>
      </c>
      <c r="BE211" s="1">
        <v>3</v>
      </c>
      <c r="BF211" s="1">
        <v>4</v>
      </c>
      <c r="BG211" s="1">
        <v>4</v>
      </c>
      <c r="BH211" s="1">
        <v>4</v>
      </c>
      <c r="BI211" s="1">
        <v>4</v>
      </c>
      <c r="BJ211" s="1">
        <v>3</v>
      </c>
      <c r="BK211" s="1" t="s">
        <v>665</v>
      </c>
      <c r="BL211" s="1">
        <v>3</v>
      </c>
    </row>
    <row r="212" spans="1:64" x14ac:dyDescent="0.35">
      <c r="A212" t="s">
        <v>54</v>
      </c>
      <c r="B212" t="s">
        <v>709</v>
      </c>
      <c r="C212" t="s">
        <v>55</v>
      </c>
      <c r="D212" t="s">
        <v>300</v>
      </c>
      <c r="E212" t="s">
        <v>900</v>
      </c>
      <c r="F212" t="s">
        <v>301</v>
      </c>
      <c r="G212" t="s">
        <v>300</v>
      </c>
      <c r="H212" s="1">
        <v>41750.25</v>
      </c>
      <c r="I212" s="1">
        <v>18034</v>
      </c>
      <c r="J212" s="1">
        <v>17653</v>
      </c>
      <c r="K212" s="1">
        <v>32872</v>
      </c>
      <c r="L212" s="1">
        <v>19617.669005556178</v>
      </c>
      <c r="M212" s="1">
        <v>21548.616666666665</v>
      </c>
      <c r="N212" s="1">
        <v>32872</v>
      </c>
      <c r="O212" s="1">
        <v>55667</v>
      </c>
      <c r="P212" s="1">
        <v>48290</v>
      </c>
      <c r="Q212" s="1">
        <v>44534</v>
      </c>
      <c r="R212" s="1">
        <v>45863.705357142862</v>
      </c>
      <c r="S212" s="1">
        <v>20226</v>
      </c>
      <c r="T212" s="1">
        <v>24728</v>
      </c>
      <c r="U212" s="1">
        <v>54085</v>
      </c>
      <c r="V212" s="3">
        <f>_xlfn.XLOOKUP(Table2[[#This Row],[admin3Pcode]],'Inter-sector dataset'!F:F,'Inter-sector dataset'!Q:Q)</f>
        <v>1</v>
      </c>
      <c r="W212" s="3">
        <f>_xlfn.XLOOKUP(Table2[[#This Row],[admin3Pcode]],'Inter-sector dataset'!F:F,'Inter-sector dataset'!R:R)</f>
        <v>0</v>
      </c>
      <c r="X212" s="1">
        <f>IFERROR(Table2[[#This Row],[Health_PIN]]*$V212,)</f>
        <v>41750.25</v>
      </c>
      <c r="Y212" s="1">
        <f>IFERROR(Table2[[#This Row],[CCCM_PIN]]*$V212,)</f>
        <v>18034</v>
      </c>
      <c r="Z212" s="1">
        <f>IFERROR(Table2[[#This Row],[ERL_PIN]]*$V212,)</f>
        <v>17653</v>
      </c>
      <c r="AA212" s="1">
        <f>IFERROR(Table2[[#This Row],[NFI_PIN]]*$V212,)</f>
        <v>32872</v>
      </c>
      <c r="AB212" s="1">
        <f>IFERROR(Table2[[#This Row],[Nutrition_PIN]]*$V212,)</f>
        <v>19617.669005556178</v>
      </c>
      <c r="AC212" s="1">
        <f>IFERROR(Table2[[#This Row],[Education_PIN]]*$V212,)</f>
        <v>21548.616666666665</v>
      </c>
      <c r="AD212" s="1">
        <f>IFERROR(Table2[[#This Row],[Shelter_PIN]]*$V212,)</f>
        <v>32872</v>
      </c>
      <c r="AE212" s="1">
        <f>IFERROR(Table2[[#This Row],[WASH_PIN]]*$V212,)</f>
        <v>55667</v>
      </c>
      <c r="AF212" s="1">
        <f>IFERROR(Table2[[#This Row],[WASH_acute_PIN]]*$V212,)</f>
        <v>48290</v>
      </c>
      <c r="AG212" s="1">
        <f>IFERROR(Table2[[#This Row],[Protection_PIN]]*$V212,)</f>
        <v>44534</v>
      </c>
      <c r="AH212" s="1">
        <f>IFERROR(Table2[[#This Row],[Food_PIN]]*$V212,)</f>
        <v>45863.705357142862</v>
      </c>
      <c r="AI212" s="1">
        <f>IFERROR(Table2[[#This Row],[Protection_CP_PIN]]*$V212,)</f>
        <v>20226</v>
      </c>
      <c r="AJ212" s="1">
        <f>IFERROR(Table2[[#This Row],[Protection_GBV_PIN]]*$V212,)</f>
        <v>24728</v>
      </c>
      <c r="AK212" s="1">
        <f>IFERROR(Table2[[#This Row],[Protection_MA_PIN]]*$V212,)</f>
        <v>54085</v>
      </c>
      <c r="AL212" s="1">
        <f>IFERROR(Table2[[#This Row],[Health_PIN]]*$W212,)</f>
        <v>0</v>
      </c>
      <c r="AM212" s="1">
        <f>IFERROR(Table2[[#This Row],[CCCM_PIN]]*$W212,)</f>
        <v>0</v>
      </c>
      <c r="AN212" s="1">
        <f>IFERROR(Table2[[#This Row],[ERL_PIN]]*$W212,)</f>
        <v>0</v>
      </c>
      <c r="AO212" s="1">
        <f>IFERROR(Table2[[#This Row],[NFI_PIN]]*$W212,)</f>
        <v>0</v>
      </c>
      <c r="AP212" s="1">
        <f>IFERROR(Table2[[#This Row],[Nutrition_PIN]]*$W212,)</f>
        <v>0</v>
      </c>
      <c r="AQ212" s="1">
        <f>IFERROR(Table2[[#This Row],[Education_PIN]]*$W212,)</f>
        <v>0</v>
      </c>
      <c r="AR212" s="1">
        <f>IFERROR(Table2[[#This Row],[Shelter_PIN]]*$W212,)</f>
        <v>0</v>
      </c>
      <c r="AS212" s="1">
        <f>IFERROR(Table2[[#This Row],[WASH_PIN]]*$W212,)</f>
        <v>0</v>
      </c>
      <c r="AT212" s="1">
        <f>IFERROR(Table2[[#This Row],[WASH_acute_PIN]]*$W212,)</f>
        <v>0</v>
      </c>
      <c r="AU212" s="1">
        <f>IFERROR(Table2[[#This Row],[Protection_PIN]]*$W212,)</f>
        <v>0</v>
      </c>
      <c r="AV212" s="1">
        <f>IFERROR(Table2[[#This Row],[Food_PIN]]*$W212,)</f>
        <v>0</v>
      </c>
      <c r="AW212" s="1">
        <f>IFERROR(Table2[[#This Row],[Protection_CP_PIN]]*$W212,)</f>
        <v>0</v>
      </c>
      <c r="AX212" s="1">
        <f>IFERROR(Table2[[#This Row],[Protection_GBV_PIN]]*$W212,)</f>
        <v>0</v>
      </c>
      <c r="AY212" s="1">
        <f>IFERROR(Table2[[#This Row],[Protection_MA_PIN]]*$W212,)</f>
        <v>0</v>
      </c>
      <c r="AZ212" s="1">
        <v>4</v>
      </c>
      <c r="BA212" s="1">
        <v>4</v>
      </c>
      <c r="BB212" s="1">
        <v>5</v>
      </c>
      <c r="BC212" s="1">
        <v>4</v>
      </c>
      <c r="BD212" s="1">
        <v>3</v>
      </c>
      <c r="BE212" s="1">
        <v>4</v>
      </c>
      <c r="BF212" s="1">
        <v>4</v>
      </c>
      <c r="BG212" s="1">
        <v>3</v>
      </c>
      <c r="BH212" s="1">
        <v>4</v>
      </c>
      <c r="BI212" s="1">
        <v>4</v>
      </c>
      <c r="BJ212" s="1">
        <v>4</v>
      </c>
      <c r="BK212" s="1">
        <v>3</v>
      </c>
      <c r="BL212" s="1">
        <v>4</v>
      </c>
    </row>
    <row r="213" spans="1:64" x14ac:dyDescent="0.35">
      <c r="A213" t="s">
        <v>104</v>
      </c>
      <c r="B213" t="s">
        <v>677</v>
      </c>
      <c r="C213" t="s">
        <v>105</v>
      </c>
      <c r="D213" t="s">
        <v>369</v>
      </c>
      <c r="E213" t="s">
        <v>901</v>
      </c>
      <c r="F213" t="s">
        <v>371</v>
      </c>
      <c r="G213" t="s">
        <v>369</v>
      </c>
      <c r="H213" s="1">
        <v>27956</v>
      </c>
      <c r="I213" s="1" t="s">
        <v>665</v>
      </c>
      <c r="J213" s="1">
        <v>40989</v>
      </c>
      <c r="K213" s="1">
        <v>15647</v>
      </c>
      <c r="L213" s="1">
        <v>13910.461725894565</v>
      </c>
      <c r="M213" s="1">
        <v>21518.65</v>
      </c>
      <c r="N213" s="1">
        <v>15123</v>
      </c>
      <c r="O213" s="1">
        <v>53393.047937990908</v>
      </c>
      <c r="P213" s="1">
        <v>40999</v>
      </c>
      <c r="Q213" s="1">
        <v>44730</v>
      </c>
      <c r="R213" s="1">
        <v>27438.296296296296</v>
      </c>
      <c r="S213" s="1">
        <v>12748.400000000001</v>
      </c>
      <c r="T213" s="1">
        <v>24832</v>
      </c>
      <c r="U213" s="1">
        <v>55912</v>
      </c>
      <c r="V213" s="3">
        <f>_xlfn.XLOOKUP(Table2[[#This Row],[admin3Pcode]],'Inter-sector dataset'!F:F,'Inter-sector dataset'!Q:Q)</f>
        <v>0</v>
      </c>
      <c r="W213" s="3">
        <f>_xlfn.XLOOKUP(Table2[[#This Row],[admin3Pcode]],'Inter-sector dataset'!F:F,'Inter-sector dataset'!R:R)</f>
        <v>0</v>
      </c>
      <c r="X213" s="1">
        <f>IFERROR(Table2[[#This Row],[Health_PIN]]*$V213,)</f>
        <v>0</v>
      </c>
      <c r="Y213" s="1">
        <f>IFERROR(Table2[[#This Row],[CCCM_PIN]]*$V213,)</f>
        <v>0</v>
      </c>
      <c r="Z213" s="1">
        <f>IFERROR(Table2[[#This Row],[ERL_PIN]]*$V213,)</f>
        <v>0</v>
      </c>
      <c r="AA213" s="1">
        <f>IFERROR(Table2[[#This Row],[NFI_PIN]]*$V213,)</f>
        <v>0</v>
      </c>
      <c r="AB213" s="1">
        <f>IFERROR(Table2[[#This Row],[Nutrition_PIN]]*$V213,)</f>
        <v>0</v>
      </c>
      <c r="AC213" s="1">
        <f>IFERROR(Table2[[#This Row],[Education_PIN]]*$V213,)</f>
        <v>0</v>
      </c>
      <c r="AD213" s="1">
        <f>IFERROR(Table2[[#This Row],[Shelter_PIN]]*$V213,)</f>
        <v>0</v>
      </c>
      <c r="AE213" s="1">
        <f>IFERROR(Table2[[#This Row],[WASH_PIN]]*$V213,)</f>
        <v>0</v>
      </c>
      <c r="AF213" s="1">
        <f>IFERROR(Table2[[#This Row],[WASH_acute_PIN]]*$V213,)</f>
        <v>0</v>
      </c>
      <c r="AG213" s="1">
        <f>IFERROR(Table2[[#This Row],[Protection_PIN]]*$V213,)</f>
        <v>0</v>
      </c>
      <c r="AH213" s="1">
        <f>IFERROR(Table2[[#This Row],[Food_PIN]]*$V213,)</f>
        <v>0</v>
      </c>
      <c r="AI213" s="1">
        <f>IFERROR(Table2[[#This Row],[Protection_CP_PIN]]*$V213,)</f>
        <v>0</v>
      </c>
      <c r="AJ213" s="1">
        <f>IFERROR(Table2[[#This Row],[Protection_GBV_PIN]]*$V213,)</f>
        <v>0</v>
      </c>
      <c r="AK213" s="1">
        <f>IFERROR(Table2[[#This Row],[Protection_MA_PIN]]*$V213,)</f>
        <v>0</v>
      </c>
      <c r="AL213" s="1">
        <f>IFERROR(Table2[[#This Row],[Health_PIN]]*$W213,)</f>
        <v>0</v>
      </c>
      <c r="AM213" s="1">
        <f>IFERROR(Table2[[#This Row],[CCCM_PIN]]*$W213,)</f>
        <v>0</v>
      </c>
      <c r="AN213" s="1">
        <f>IFERROR(Table2[[#This Row],[ERL_PIN]]*$W213,)</f>
        <v>0</v>
      </c>
      <c r="AO213" s="1">
        <f>IFERROR(Table2[[#This Row],[NFI_PIN]]*$W213,)</f>
        <v>0</v>
      </c>
      <c r="AP213" s="1">
        <f>IFERROR(Table2[[#This Row],[Nutrition_PIN]]*$W213,)</f>
        <v>0</v>
      </c>
      <c r="AQ213" s="1">
        <f>IFERROR(Table2[[#This Row],[Education_PIN]]*$W213,)</f>
        <v>0</v>
      </c>
      <c r="AR213" s="1">
        <f>IFERROR(Table2[[#This Row],[Shelter_PIN]]*$W213,)</f>
        <v>0</v>
      </c>
      <c r="AS213" s="1">
        <f>IFERROR(Table2[[#This Row],[WASH_PIN]]*$W213,)</f>
        <v>0</v>
      </c>
      <c r="AT213" s="1">
        <f>IFERROR(Table2[[#This Row],[WASH_acute_PIN]]*$W213,)</f>
        <v>0</v>
      </c>
      <c r="AU213" s="1">
        <f>IFERROR(Table2[[#This Row],[Protection_PIN]]*$W213,)</f>
        <v>0</v>
      </c>
      <c r="AV213" s="1">
        <f>IFERROR(Table2[[#This Row],[Food_PIN]]*$W213,)</f>
        <v>0</v>
      </c>
      <c r="AW213" s="1">
        <f>IFERROR(Table2[[#This Row],[Protection_CP_PIN]]*$W213,)</f>
        <v>0</v>
      </c>
      <c r="AX213" s="1">
        <f>IFERROR(Table2[[#This Row],[Protection_GBV_PIN]]*$W213,)</f>
        <v>0</v>
      </c>
      <c r="AY213" s="1">
        <f>IFERROR(Table2[[#This Row],[Protection_MA_PIN]]*$W213,)</f>
        <v>0</v>
      </c>
      <c r="AZ213" s="1">
        <v>3</v>
      </c>
      <c r="BA213" s="1">
        <v>3</v>
      </c>
      <c r="BB213" s="1">
        <v>4</v>
      </c>
      <c r="BC213" s="1">
        <v>3</v>
      </c>
      <c r="BD213" s="1">
        <v>3</v>
      </c>
      <c r="BE213" s="1">
        <v>3</v>
      </c>
      <c r="BF213" s="1">
        <v>4</v>
      </c>
      <c r="BG213" s="1">
        <v>3</v>
      </c>
      <c r="BH213" s="1">
        <v>4</v>
      </c>
      <c r="BI213" s="1">
        <v>4</v>
      </c>
      <c r="BJ213" s="1">
        <v>3</v>
      </c>
      <c r="BK213" s="1" t="s">
        <v>665</v>
      </c>
      <c r="BL213" s="1">
        <v>4</v>
      </c>
    </row>
    <row r="214" spans="1:64" x14ac:dyDescent="0.35">
      <c r="A214" t="s">
        <v>28</v>
      </c>
      <c r="B214" t="s">
        <v>761</v>
      </c>
      <c r="C214" t="s">
        <v>29</v>
      </c>
      <c r="D214" t="s">
        <v>352</v>
      </c>
      <c r="E214" t="s">
        <v>902</v>
      </c>
      <c r="F214" t="s">
        <v>353</v>
      </c>
      <c r="G214" t="s">
        <v>352</v>
      </c>
      <c r="H214" s="1">
        <v>28310.5</v>
      </c>
      <c r="I214" s="1" t="s">
        <v>665</v>
      </c>
      <c r="J214" s="1">
        <v>55002</v>
      </c>
      <c r="K214" s="1">
        <v>1200</v>
      </c>
      <c r="L214" s="1">
        <v>19927.332068405551</v>
      </c>
      <c r="M214" s="1">
        <v>9345.348253586928</v>
      </c>
      <c r="N214" s="1">
        <v>11407</v>
      </c>
      <c r="O214" s="1">
        <v>46456.499327387013</v>
      </c>
      <c r="P214" s="1">
        <v>34801</v>
      </c>
      <c r="Q214" s="1">
        <v>45297</v>
      </c>
      <c r="R214" s="1">
        <v>31141.55</v>
      </c>
      <c r="S214" s="1">
        <v>18977.400000000001</v>
      </c>
      <c r="T214" s="1">
        <v>27060</v>
      </c>
      <c r="U214" s="1">
        <v>11722</v>
      </c>
      <c r="V214" s="3">
        <f>_xlfn.XLOOKUP(Table2[[#This Row],[admin3Pcode]],'Inter-sector dataset'!F:F,'Inter-sector dataset'!Q:Q)</f>
        <v>0</v>
      </c>
      <c r="W214" s="3">
        <f>_xlfn.XLOOKUP(Table2[[#This Row],[admin3Pcode]],'Inter-sector dataset'!F:F,'Inter-sector dataset'!R:R)</f>
        <v>0</v>
      </c>
      <c r="X214" s="1">
        <f>IFERROR(Table2[[#This Row],[Health_PIN]]*$V214,)</f>
        <v>0</v>
      </c>
      <c r="Y214" s="1">
        <f>IFERROR(Table2[[#This Row],[CCCM_PIN]]*$V214,)</f>
        <v>0</v>
      </c>
      <c r="Z214" s="1">
        <f>IFERROR(Table2[[#This Row],[ERL_PIN]]*$V214,)</f>
        <v>0</v>
      </c>
      <c r="AA214" s="1">
        <f>IFERROR(Table2[[#This Row],[NFI_PIN]]*$V214,)</f>
        <v>0</v>
      </c>
      <c r="AB214" s="1">
        <f>IFERROR(Table2[[#This Row],[Nutrition_PIN]]*$V214,)</f>
        <v>0</v>
      </c>
      <c r="AC214" s="1">
        <f>IFERROR(Table2[[#This Row],[Education_PIN]]*$V214,)</f>
        <v>0</v>
      </c>
      <c r="AD214" s="1">
        <f>IFERROR(Table2[[#This Row],[Shelter_PIN]]*$V214,)</f>
        <v>0</v>
      </c>
      <c r="AE214" s="1">
        <f>IFERROR(Table2[[#This Row],[WASH_PIN]]*$V214,)</f>
        <v>0</v>
      </c>
      <c r="AF214" s="1">
        <f>IFERROR(Table2[[#This Row],[WASH_acute_PIN]]*$V214,)</f>
        <v>0</v>
      </c>
      <c r="AG214" s="1">
        <f>IFERROR(Table2[[#This Row],[Protection_PIN]]*$V214,)</f>
        <v>0</v>
      </c>
      <c r="AH214" s="1">
        <f>IFERROR(Table2[[#This Row],[Food_PIN]]*$V214,)</f>
        <v>0</v>
      </c>
      <c r="AI214" s="1">
        <f>IFERROR(Table2[[#This Row],[Protection_CP_PIN]]*$V214,)</f>
        <v>0</v>
      </c>
      <c r="AJ214" s="1">
        <f>IFERROR(Table2[[#This Row],[Protection_GBV_PIN]]*$V214,)</f>
        <v>0</v>
      </c>
      <c r="AK214" s="1">
        <f>IFERROR(Table2[[#This Row],[Protection_MA_PIN]]*$V214,)</f>
        <v>0</v>
      </c>
      <c r="AL214" s="1">
        <f>IFERROR(Table2[[#This Row],[Health_PIN]]*$W214,)</f>
        <v>0</v>
      </c>
      <c r="AM214" s="1">
        <f>IFERROR(Table2[[#This Row],[CCCM_PIN]]*$W214,)</f>
        <v>0</v>
      </c>
      <c r="AN214" s="1">
        <f>IFERROR(Table2[[#This Row],[ERL_PIN]]*$W214,)</f>
        <v>0</v>
      </c>
      <c r="AO214" s="1">
        <f>IFERROR(Table2[[#This Row],[NFI_PIN]]*$W214,)</f>
        <v>0</v>
      </c>
      <c r="AP214" s="1">
        <f>IFERROR(Table2[[#This Row],[Nutrition_PIN]]*$W214,)</f>
        <v>0</v>
      </c>
      <c r="AQ214" s="1">
        <f>IFERROR(Table2[[#This Row],[Education_PIN]]*$W214,)</f>
        <v>0</v>
      </c>
      <c r="AR214" s="1">
        <f>IFERROR(Table2[[#This Row],[Shelter_PIN]]*$W214,)</f>
        <v>0</v>
      </c>
      <c r="AS214" s="1">
        <f>IFERROR(Table2[[#This Row],[WASH_PIN]]*$W214,)</f>
        <v>0</v>
      </c>
      <c r="AT214" s="1">
        <f>IFERROR(Table2[[#This Row],[WASH_acute_PIN]]*$W214,)</f>
        <v>0</v>
      </c>
      <c r="AU214" s="1">
        <f>IFERROR(Table2[[#This Row],[Protection_PIN]]*$W214,)</f>
        <v>0</v>
      </c>
      <c r="AV214" s="1">
        <f>IFERROR(Table2[[#This Row],[Food_PIN]]*$W214,)</f>
        <v>0</v>
      </c>
      <c r="AW214" s="1">
        <f>IFERROR(Table2[[#This Row],[Protection_CP_PIN]]*$W214,)</f>
        <v>0</v>
      </c>
      <c r="AX214" s="1">
        <f>IFERROR(Table2[[#This Row],[Protection_GBV_PIN]]*$W214,)</f>
        <v>0</v>
      </c>
      <c r="AY214" s="1">
        <f>IFERROR(Table2[[#This Row],[Protection_MA_PIN]]*$W214,)</f>
        <v>0</v>
      </c>
      <c r="AZ214" s="1">
        <v>3</v>
      </c>
      <c r="BA214" s="1">
        <v>4</v>
      </c>
      <c r="BB214" s="1">
        <v>5</v>
      </c>
      <c r="BC214" s="1">
        <v>2</v>
      </c>
      <c r="BD214" s="1">
        <v>4</v>
      </c>
      <c r="BE214" s="1">
        <v>3</v>
      </c>
      <c r="BF214" s="1">
        <v>4</v>
      </c>
      <c r="BG214" s="1">
        <v>4</v>
      </c>
      <c r="BH214" s="1">
        <v>4</v>
      </c>
      <c r="BI214" s="1">
        <v>4</v>
      </c>
      <c r="BJ214" s="1">
        <v>3</v>
      </c>
      <c r="BK214" s="1" t="s">
        <v>665</v>
      </c>
      <c r="BL214" s="1">
        <v>4</v>
      </c>
    </row>
    <row r="215" spans="1:64" x14ac:dyDescent="0.35">
      <c r="A215" t="s">
        <v>54</v>
      </c>
      <c r="B215" t="s">
        <v>709</v>
      </c>
      <c r="C215" t="s">
        <v>55</v>
      </c>
      <c r="D215" t="s">
        <v>358</v>
      </c>
      <c r="E215" t="s">
        <v>903</v>
      </c>
      <c r="F215" t="s">
        <v>359</v>
      </c>
      <c r="G215" t="s">
        <v>358</v>
      </c>
      <c r="H215" s="1">
        <v>43526.25</v>
      </c>
      <c r="I215" s="1" t="s">
        <v>665</v>
      </c>
      <c r="J215" s="1">
        <v>41458</v>
      </c>
      <c r="K215" s="1">
        <v>11607</v>
      </c>
      <c r="L215" s="1">
        <v>17094.159035006021</v>
      </c>
      <c r="M215" s="1">
        <v>23460.799999999999</v>
      </c>
      <c r="N215" s="1">
        <v>11607</v>
      </c>
      <c r="O215" s="1">
        <v>58035</v>
      </c>
      <c r="P215" s="1">
        <v>792</v>
      </c>
      <c r="Q215" s="1">
        <v>46428</v>
      </c>
      <c r="R215" s="1">
        <v>43141.06194690265</v>
      </c>
      <c r="S215" s="1">
        <v>12720.800000000001</v>
      </c>
      <c r="T215" s="1">
        <v>15389</v>
      </c>
      <c r="U215" s="1">
        <v>58035</v>
      </c>
      <c r="V215" s="3">
        <f>_xlfn.XLOOKUP(Table2[[#This Row],[admin3Pcode]],'Inter-sector dataset'!F:F,'Inter-sector dataset'!Q:Q)</f>
        <v>0</v>
      </c>
      <c r="W215" s="3">
        <f>_xlfn.XLOOKUP(Table2[[#This Row],[admin3Pcode]],'Inter-sector dataset'!F:F,'Inter-sector dataset'!R:R)</f>
        <v>0</v>
      </c>
      <c r="X215" s="1">
        <f>IFERROR(Table2[[#This Row],[Health_PIN]]*$V215,)</f>
        <v>0</v>
      </c>
      <c r="Y215" s="1">
        <f>IFERROR(Table2[[#This Row],[CCCM_PIN]]*$V215,)</f>
        <v>0</v>
      </c>
      <c r="Z215" s="1">
        <f>IFERROR(Table2[[#This Row],[ERL_PIN]]*$V215,)</f>
        <v>0</v>
      </c>
      <c r="AA215" s="1">
        <f>IFERROR(Table2[[#This Row],[NFI_PIN]]*$V215,)</f>
        <v>0</v>
      </c>
      <c r="AB215" s="1">
        <f>IFERROR(Table2[[#This Row],[Nutrition_PIN]]*$V215,)</f>
        <v>0</v>
      </c>
      <c r="AC215" s="1">
        <f>IFERROR(Table2[[#This Row],[Education_PIN]]*$V215,)</f>
        <v>0</v>
      </c>
      <c r="AD215" s="1">
        <f>IFERROR(Table2[[#This Row],[Shelter_PIN]]*$V215,)</f>
        <v>0</v>
      </c>
      <c r="AE215" s="1">
        <f>IFERROR(Table2[[#This Row],[WASH_PIN]]*$V215,)</f>
        <v>0</v>
      </c>
      <c r="AF215" s="1">
        <f>IFERROR(Table2[[#This Row],[WASH_acute_PIN]]*$V215,)</f>
        <v>0</v>
      </c>
      <c r="AG215" s="1">
        <f>IFERROR(Table2[[#This Row],[Protection_PIN]]*$V215,)</f>
        <v>0</v>
      </c>
      <c r="AH215" s="1">
        <f>IFERROR(Table2[[#This Row],[Food_PIN]]*$V215,)</f>
        <v>0</v>
      </c>
      <c r="AI215" s="1">
        <f>IFERROR(Table2[[#This Row],[Protection_CP_PIN]]*$V215,)</f>
        <v>0</v>
      </c>
      <c r="AJ215" s="1">
        <f>IFERROR(Table2[[#This Row],[Protection_GBV_PIN]]*$V215,)</f>
        <v>0</v>
      </c>
      <c r="AK215" s="1">
        <f>IFERROR(Table2[[#This Row],[Protection_MA_PIN]]*$V215,)</f>
        <v>0</v>
      </c>
      <c r="AL215" s="1">
        <f>IFERROR(Table2[[#This Row],[Health_PIN]]*$W215,)</f>
        <v>0</v>
      </c>
      <c r="AM215" s="1">
        <f>IFERROR(Table2[[#This Row],[CCCM_PIN]]*$W215,)</f>
        <v>0</v>
      </c>
      <c r="AN215" s="1">
        <f>IFERROR(Table2[[#This Row],[ERL_PIN]]*$W215,)</f>
        <v>0</v>
      </c>
      <c r="AO215" s="1">
        <f>IFERROR(Table2[[#This Row],[NFI_PIN]]*$W215,)</f>
        <v>0</v>
      </c>
      <c r="AP215" s="1">
        <f>IFERROR(Table2[[#This Row],[Nutrition_PIN]]*$W215,)</f>
        <v>0</v>
      </c>
      <c r="AQ215" s="1">
        <f>IFERROR(Table2[[#This Row],[Education_PIN]]*$W215,)</f>
        <v>0</v>
      </c>
      <c r="AR215" s="1">
        <f>IFERROR(Table2[[#This Row],[Shelter_PIN]]*$W215,)</f>
        <v>0</v>
      </c>
      <c r="AS215" s="1">
        <f>IFERROR(Table2[[#This Row],[WASH_PIN]]*$W215,)</f>
        <v>0</v>
      </c>
      <c r="AT215" s="1">
        <f>IFERROR(Table2[[#This Row],[WASH_acute_PIN]]*$W215,)</f>
        <v>0</v>
      </c>
      <c r="AU215" s="1">
        <f>IFERROR(Table2[[#This Row],[Protection_PIN]]*$W215,)</f>
        <v>0</v>
      </c>
      <c r="AV215" s="1">
        <f>IFERROR(Table2[[#This Row],[Food_PIN]]*$W215,)</f>
        <v>0</v>
      </c>
      <c r="AW215" s="1">
        <f>IFERROR(Table2[[#This Row],[Protection_CP_PIN]]*$W215,)</f>
        <v>0</v>
      </c>
      <c r="AX215" s="1">
        <f>IFERROR(Table2[[#This Row],[Protection_GBV_PIN]]*$W215,)</f>
        <v>0</v>
      </c>
      <c r="AY215" s="1">
        <f>IFERROR(Table2[[#This Row],[Protection_MA_PIN]]*$W215,)</f>
        <v>0</v>
      </c>
      <c r="AZ215" s="1">
        <v>2</v>
      </c>
      <c r="BA215" s="1">
        <v>3</v>
      </c>
      <c r="BB215" s="1">
        <v>3</v>
      </c>
      <c r="BC215" s="1">
        <v>2</v>
      </c>
      <c r="BD215" s="1">
        <v>3</v>
      </c>
      <c r="BE215" s="1">
        <v>4</v>
      </c>
      <c r="BF215" s="1">
        <v>4</v>
      </c>
      <c r="BG215" s="1">
        <v>3</v>
      </c>
      <c r="BH215" s="1">
        <v>3</v>
      </c>
      <c r="BI215" s="1">
        <v>4</v>
      </c>
      <c r="BJ215" s="1">
        <v>4</v>
      </c>
      <c r="BK215" s="1" t="s">
        <v>665</v>
      </c>
      <c r="BL215" s="1">
        <v>3</v>
      </c>
    </row>
    <row r="216" spans="1:64" x14ac:dyDescent="0.35">
      <c r="A216" t="s">
        <v>192</v>
      </c>
      <c r="B216" t="s">
        <v>711</v>
      </c>
      <c r="C216" t="s">
        <v>193</v>
      </c>
      <c r="D216" t="s">
        <v>430</v>
      </c>
      <c r="E216" t="s">
        <v>904</v>
      </c>
      <c r="F216" t="s">
        <v>431</v>
      </c>
      <c r="G216" t="s">
        <v>430</v>
      </c>
      <c r="H216" s="1">
        <v>43905.75</v>
      </c>
      <c r="I216" s="1">
        <v>3294</v>
      </c>
      <c r="J216" s="1">
        <v>38438</v>
      </c>
      <c r="K216" s="1">
        <v>11708</v>
      </c>
      <c r="L216" s="1">
        <v>20519.496381774417</v>
      </c>
      <c r="M216" s="1">
        <v>26376.35</v>
      </c>
      <c r="N216" s="1">
        <v>23749</v>
      </c>
      <c r="O216" s="1">
        <v>55420.912215418663</v>
      </c>
      <c r="P216" s="1">
        <v>30647</v>
      </c>
      <c r="Q216" s="1">
        <v>46833</v>
      </c>
      <c r="R216" s="1">
        <v>40505.093023255824</v>
      </c>
      <c r="S216" s="1">
        <v>20676.400000000001</v>
      </c>
      <c r="T216" s="1">
        <v>25381</v>
      </c>
      <c r="U216" s="1">
        <v>58541</v>
      </c>
      <c r="V216" s="3">
        <f>_xlfn.XLOOKUP(Table2[[#This Row],[admin3Pcode]],'Inter-sector dataset'!F:F,'Inter-sector dataset'!Q:Q)</f>
        <v>1</v>
      </c>
      <c r="W216" s="3">
        <f>_xlfn.XLOOKUP(Table2[[#This Row],[admin3Pcode]],'Inter-sector dataset'!F:F,'Inter-sector dataset'!R:R)</f>
        <v>0</v>
      </c>
      <c r="X216" s="1">
        <f>IFERROR(Table2[[#This Row],[Health_PIN]]*$V216,)</f>
        <v>43905.75</v>
      </c>
      <c r="Y216" s="1">
        <f>IFERROR(Table2[[#This Row],[CCCM_PIN]]*$V216,)</f>
        <v>3294</v>
      </c>
      <c r="Z216" s="1">
        <f>IFERROR(Table2[[#This Row],[ERL_PIN]]*$V216,)</f>
        <v>38438</v>
      </c>
      <c r="AA216" s="1">
        <f>IFERROR(Table2[[#This Row],[NFI_PIN]]*$V216,)</f>
        <v>11708</v>
      </c>
      <c r="AB216" s="1">
        <f>IFERROR(Table2[[#This Row],[Nutrition_PIN]]*$V216,)</f>
        <v>20519.496381774417</v>
      </c>
      <c r="AC216" s="1">
        <f>IFERROR(Table2[[#This Row],[Education_PIN]]*$V216,)</f>
        <v>26376.35</v>
      </c>
      <c r="AD216" s="1">
        <f>IFERROR(Table2[[#This Row],[Shelter_PIN]]*$V216,)</f>
        <v>23749</v>
      </c>
      <c r="AE216" s="1">
        <f>IFERROR(Table2[[#This Row],[WASH_PIN]]*$V216,)</f>
        <v>55420.912215418663</v>
      </c>
      <c r="AF216" s="1">
        <f>IFERROR(Table2[[#This Row],[WASH_acute_PIN]]*$V216,)</f>
        <v>30647</v>
      </c>
      <c r="AG216" s="1">
        <f>IFERROR(Table2[[#This Row],[Protection_PIN]]*$V216,)</f>
        <v>46833</v>
      </c>
      <c r="AH216" s="1">
        <f>IFERROR(Table2[[#This Row],[Food_PIN]]*$V216,)</f>
        <v>40505.093023255824</v>
      </c>
      <c r="AI216" s="1">
        <f>IFERROR(Table2[[#This Row],[Protection_CP_PIN]]*$V216,)</f>
        <v>20676.400000000001</v>
      </c>
      <c r="AJ216" s="1">
        <f>IFERROR(Table2[[#This Row],[Protection_GBV_PIN]]*$V216,)</f>
        <v>25381</v>
      </c>
      <c r="AK216" s="1">
        <f>IFERROR(Table2[[#This Row],[Protection_MA_PIN]]*$V216,)</f>
        <v>58541</v>
      </c>
      <c r="AL216" s="1">
        <f>IFERROR(Table2[[#This Row],[Health_PIN]]*$W216,)</f>
        <v>0</v>
      </c>
      <c r="AM216" s="1">
        <f>IFERROR(Table2[[#This Row],[CCCM_PIN]]*$W216,)</f>
        <v>0</v>
      </c>
      <c r="AN216" s="1">
        <f>IFERROR(Table2[[#This Row],[ERL_PIN]]*$W216,)</f>
        <v>0</v>
      </c>
      <c r="AO216" s="1">
        <f>IFERROR(Table2[[#This Row],[NFI_PIN]]*$W216,)</f>
        <v>0</v>
      </c>
      <c r="AP216" s="1">
        <f>IFERROR(Table2[[#This Row],[Nutrition_PIN]]*$W216,)</f>
        <v>0</v>
      </c>
      <c r="AQ216" s="1">
        <f>IFERROR(Table2[[#This Row],[Education_PIN]]*$W216,)</f>
        <v>0</v>
      </c>
      <c r="AR216" s="1">
        <f>IFERROR(Table2[[#This Row],[Shelter_PIN]]*$W216,)</f>
        <v>0</v>
      </c>
      <c r="AS216" s="1">
        <f>IFERROR(Table2[[#This Row],[WASH_PIN]]*$W216,)</f>
        <v>0</v>
      </c>
      <c r="AT216" s="1">
        <f>IFERROR(Table2[[#This Row],[WASH_acute_PIN]]*$W216,)</f>
        <v>0</v>
      </c>
      <c r="AU216" s="1">
        <f>IFERROR(Table2[[#This Row],[Protection_PIN]]*$W216,)</f>
        <v>0</v>
      </c>
      <c r="AV216" s="1">
        <f>IFERROR(Table2[[#This Row],[Food_PIN]]*$W216,)</f>
        <v>0</v>
      </c>
      <c r="AW216" s="1">
        <f>IFERROR(Table2[[#This Row],[Protection_CP_PIN]]*$W216,)</f>
        <v>0</v>
      </c>
      <c r="AX216" s="1">
        <f>IFERROR(Table2[[#This Row],[Protection_GBV_PIN]]*$W216,)</f>
        <v>0</v>
      </c>
      <c r="AY216" s="1">
        <f>IFERROR(Table2[[#This Row],[Protection_MA_PIN]]*$W216,)</f>
        <v>0</v>
      </c>
      <c r="AZ216" s="1">
        <v>4</v>
      </c>
      <c r="BA216" s="1">
        <v>3</v>
      </c>
      <c r="BB216" s="1">
        <v>4</v>
      </c>
      <c r="BC216" s="1">
        <v>2</v>
      </c>
      <c r="BD216" s="1">
        <v>3</v>
      </c>
      <c r="BE216" s="1">
        <v>4</v>
      </c>
      <c r="BF216" s="1">
        <v>4</v>
      </c>
      <c r="BG216" s="1">
        <v>3</v>
      </c>
      <c r="BH216" s="1">
        <v>4</v>
      </c>
      <c r="BI216" s="1">
        <v>4</v>
      </c>
      <c r="BJ216" s="1">
        <v>4</v>
      </c>
      <c r="BK216" s="1">
        <v>3</v>
      </c>
      <c r="BL216" s="1">
        <v>4</v>
      </c>
    </row>
    <row r="217" spans="1:64" x14ac:dyDescent="0.35">
      <c r="A217" t="s">
        <v>28</v>
      </c>
      <c r="B217" t="s">
        <v>761</v>
      </c>
      <c r="C217" t="s">
        <v>29</v>
      </c>
      <c r="D217" t="s">
        <v>227</v>
      </c>
      <c r="E217" t="s">
        <v>905</v>
      </c>
      <c r="F217" t="s">
        <v>228</v>
      </c>
      <c r="G217" t="s">
        <v>227</v>
      </c>
      <c r="H217" s="1">
        <v>44718</v>
      </c>
      <c r="I217" s="1" t="s">
        <v>665</v>
      </c>
      <c r="J217" s="1">
        <v>59055</v>
      </c>
      <c r="K217" s="1">
        <v>11925</v>
      </c>
      <c r="L217" s="1">
        <v>18967.778773796505</v>
      </c>
      <c r="M217" s="1">
        <v>24544.25</v>
      </c>
      <c r="N217" s="1">
        <v>17887</v>
      </c>
      <c r="O217" s="1">
        <v>50625.925247930907</v>
      </c>
      <c r="P217" s="1">
        <v>10006</v>
      </c>
      <c r="Q217" s="1">
        <v>47699</v>
      </c>
      <c r="R217" s="1">
        <v>40110.69090909091</v>
      </c>
      <c r="S217" s="1">
        <v>19809.899999999998</v>
      </c>
      <c r="T217" s="1">
        <v>29289</v>
      </c>
      <c r="U217" s="1">
        <v>57194</v>
      </c>
      <c r="V217" s="3">
        <f>_xlfn.XLOOKUP(Table2[[#This Row],[admin3Pcode]],'Inter-sector dataset'!F:F,'Inter-sector dataset'!Q:Q)</f>
        <v>0</v>
      </c>
      <c r="W217" s="3">
        <f>_xlfn.XLOOKUP(Table2[[#This Row],[admin3Pcode]],'Inter-sector dataset'!F:F,'Inter-sector dataset'!R:R)</f>
        <v>0</v>
      </c>
      <c r="X217" s="1">
        <f>IFERROR(Table2[[#This Row],[Health_PIN]]*$V217,)</f>
        <v>0</v>
      </c>
      <c r="Y217" s="1">
        <f>IFERROR(Table2[[#This Row],[CCCM_PIN]]*$V217,)</f>
        <v>0</v>
      </c>
      <c r="Z217" s="1">
        <f>IFERROR(Table2[[#This Row],[ERL_PIN]]*$V217,)</f>
        <v>0</v>
      </c>
      <c r="AA217" s="1">
        <f>IFERROR(Table2[[#This Row],[NFI_PIN]]*$V217,)</f>
        <v>0</v>
      </c>
      <c r="AB217" s="1">
        <f>IFERROR(Table2[[#This Row],[Nutrition_PIN]]*$V217,)</f>
        <v>0</v>
      </c>
      <c r="AC217" s="1">
        <f>IFERROR(Table2[[#This Row],[Education_PIN]]*$V217,)</f>
        <v>0</v>
      </c>
      <c r="AD217" s="1">
        <f>IFERROR(Table2[[#This Row],[Shelter_PIN]]*$V217,)</f>
        <v>0</v>
      </c>
      <c r="AE217" s="1">
        <f>IFERROR(Table2[[#This Row],[WASH_PIN]]*$V217,)</f>
        <v>0</v>
      </c>
      <c r="AF217" s="1">
        <f>IFERROR(Table2[[#This Row],[WASH_acute_PIN]]*$V217,)</f>
        <v>0</v>
      </c>
      <c r="AG217" s="1">
        <f>IFERROR(Table2[[#This Row],[Protection_PIN]]*$V217,)</f>
        <v>0</v>
      </c>
      <c r="AH217" s="1">
        <f>IFERROR(Table2[[#This Row],[Food_PIN]]*$V217,)</f>
        <v>0</v>
      </c>
      <c r="AI217" s="1">
        <f>IFERROR(Table2[[#This Row],[Protection_CP_PIN]]*$V217,)</f>
        <v>0</v>
      </c>
      <c r="AJ217" s="1">
        <f>IFERROR(Table2[[#This Row],[Protection_GBV_PIN]]*$V217,)</f>
        <v>0</v>
      </c>
      <c r="AK217" s="1">
        <f>IFERROR(Table2[[#This Row],[Protection_MA_PIN]]*$V217,)</f>
        <v>0</v>
      </c>
      <c r="AL217" s="1">
        <f>IFERROR(Table2[[#This Row],[Health_PIN]]*$W217,)</f>
        <v>0</v>
      </c>
      <c r="AM217" s="1">
        <f>IFERROR(Table2[[#This Row],[CCCM_PIN]]*$W217,)</f>
        <v>0</v>
      </c>
      <c r="AN217" s="1">
        <f>IFERROR(Table2[[#This Row],[ERL_PIN]]*$W217,)</f>
        <v>0</v>
      </c>
      <c r="AO217" s="1">
        <f>IFERROR(Table2[[#This Row],[NFI_PIN]]*$W217,)</f>
        <v>0</v>
      </c>
      <c r="AP217" s="1">
        <f>IFERROR(Table2[[#This Row],[Nutrition_PIN]]*$W217,)</f>
        <v>0</v>
      </c>
      <c r="AQ217" s="1">
        <f>IFERROR(Table2[[#This Row],[Education_PIN]]*$W217,)</f>
        <v>0</v>
      </c>
      <c r="AR217" s="1">
        <f>IFERROR(Table2[[#This Row],[Shelter_PIN]]*$W217,)</f>
        <v>0</v>
      </c>
      <c r="AS217" s="1">
        <f>IFERROR(Table2[[#This Row],[WASH_PIN]]*$W217,)</f>
        <v>0</v>
      </c>
      <c r="AT217" s="1">
        <f>IFERROR(Table2[[#This Row],[WASH_acute_PIN]]*$W217,)</f>
        <v>0</v>
      </c>
      <c r="AU217" s="1">
        <f>IFERROR(Table2[[#This Row],[Protection_PIN]]*$W217,)</f>
        <v>0</v>
      </c>
      <c r="AV217" s="1">
        <f>IFERROR(Table2[[#This Row],[Food_PIN]]*$W217,)</f>
        <v>0</v>
      </c>
      <c r="AW217" s="1">
        <f>IFERROR(Table2[[#This Row],[Protection_CP_PIN]]*$W217,)</f>
        <v>0</v>
      </c>
      <c r="AX217" s="1">
        <f>IFERROR(Table2[[#This Row],[Protection_GBV_PIN]]*$W217,)</f>
        <v>0</v>
      </c>
      <c r="AY217" s="1">
        <f>IFERROR(Table2[[#This Row],[Protection_MA_PIN]]*$W217,)</f>
        <v>0</v>
      </c>
      <c r="AZ217" s="1">
        <v>3</v>
      </c>
      <c r="BA217" s="1">
        <v>3</v>
      </c>
      <c r="BB217" s="1">
        <v>4</v>
      </c>
      <c r="BC217" s="1">
        <v>2</v>
      </c>
      <c r="BD217" s="1">
        <v>4</v>
      </c>
      <c r="BE217" s="1">
        <v>4</v>
      </c>
      <c r="BF217" s="1">
        <v>4</v>
      </c>
      <c r="BG217" s="1">
        <v>4</v>
      </c>
      <c r="BH217" s="1">
        <v>4</v>
      </c>
      <c r="BI217" s="1">
        <v>4</v>
      </c>
      <c r="BJ217" s="1">
        <v>4</v>
      </c>
      <c r="BK217" s="1" t="s">
        <v>665</v>
      </c>
      <c r="BL217" s="1">
        <v>3</v>
      </c>
    </row>
    <row r="218" spans="1:64" x14ac:dyDescent="0.35">
      <c r="A218" t="s">
        <v>184</v>
      </c>
      <c r="B218" t="s">
        <v>730</v>
      </c>
      <c r="C218" t="s">
        <v>185</v>
      </c>
      <c r="D218" t="s">
        <v>254</v>
      </c>
      <c r="E218" t="s">
        <v>906</v>
      </c>
      <c r="F218" t="s">
        <v>256</v>
      </c>
      <c r="G218" t="s">
        <v>254</v>
      </c>
      <c r="H218" s="1">
        <v>62214</v>
      </c>
      <c r="I218" s="1" t="s">
        <v>665</v>
      </c>
      <c r="J218" s="1">
        <v>59895</v>
      </c>
      <c r="K218" s="1">
        <v>14638</v>
      </c>
      <c r="L218" s="1">
        <v>15727.643502697745</v>
      </c>
      <c r="M218" s="1">
        <v>30836.733333333334</v>
      </c>
      <c r="N218" s="1">
        <v>25249</v>
      </c>
      <c r="O218" s="1">
        <v>62214</v>
      </c>
      <c r="P218" s="1">
        <v>48327</v>
      </c>
      <c r="Q218" s="1">
        <v>49771</v>
      </c>
      <c r="R218" s="1">
        <v>52642.615384615383</v>
      </c>
      <c r="S218" s="1">
        <v>23787.599999999999</v>
      </c>
      <c r="T218" s="1">
        <v>24474</v>
      </c>
      <c r="U218" s="1">
        <v>33802</v>
      </c>
      <c r="V218" s="3">
        <f>_xlfn.XLOOKUP(Table2[[#This Row],[admin3Pcode]],'Inter-sector dataset'!F:F,'Inter-sector dataset'!Q:Q)</f>
        <v>0</v>
      </c>
      <c r="W218" s="3">
        <f>_xlfn.XLOOKUP(Table2[[#This Row],[admin3Pcode]],'Inter-sector dataset'!F:F,'Inter-sector dataset'!R:R)</f>
        <v>0.6</v>
      </c>
      <c r="X218" s="1">
        <f>IFERROR(Table2[[#This Row],[Health_PIN]]*$V218,)</f>
        <v>0</v>
      </c>
      <c r="Y218" s="1">
        <f>IFERROR(Table2[[#This Row],[CCCM_PIN]]*$V218,)</f>
        <v>0</v>
      </c>
      <c r="Z218" s="1">
        <f>IFERROR(Table2[[#This Row],[ERL_PIN]]*$V218,)</f>
        <v>0</v>
      </c>
      <c r="AA218" s="1">
        <f>IFERROR(Table2[[#This Row],[NFI_PIN]]*$V218,)</f>
        <v>0</v>
      </c>
      <c r="AB218" s="1">
        <f>IFERROR(Table2[[#This Row],[Nutrition_PIN]]*$V218,)</f>
        <v>0</v>
      </c>
      <c r="AC218" s="1">
        <f>IFERROR(Table2[[#This Row],[Education_PIN]]*$V218,)</f>
        <v>0</v>
      </c>
      <c r="AD218" s="1">
        <f>IFERROR(Table2[[#This Row],[Shelter_PIN]]*$V218,)</f>
        <v>0</v>
      </c>
      <c r="AE218" s="1">
        <f>IFERROR(Table2[[#This Row],[WASH_PIN]]*$V218,)</f>
        <v>0</v>
      </c>
      <c r="AF218" s="1">
        <f>IFERROR(Table2[[#This Row],[WASH_acute_PIN]]*$V218,)</f>
        <v>0</v>
      </c>
      <c r="AG218" s="1">
        <f>IFERROR(Table2[[#This Row],[Protection_PIN]]*$V218,)</f>
        <v>0</v>
      </c>
      <c r="AH218" s="1">
        <f>IFERROR(Table2[[#This Row],[Food_PIN]]*$V218,)</f>
        <v>0</v>
      </c>
      <c r="AI218" s="1">
        <f>IFERROR(Table2[[#This Row],[Protection_CP_PIN]]*$V218,)</f>
        <v>0</v>
      </c>
      <c r="AJ218" s="1">
        <f>IFERROR(Table2[[#This Row],[Protection_GBV_PIN]]*$V218,)</f>
        <v>0</v>
      </c>
      <c r="AK218" s="1">
        <f>IFERROR(Table2[[#This Row],[Protection_MA_PIN]]*$V218,)</f>
        <v>0</v>
      </c>
      <c r="AL218" s="1">
        <f>IFERROR(Table2[[#This Row],[Health_PIN]]*$W218,)</f>
        <v>37328.400000000001</v>
      </c>
      <c r="AM218" s="1">
        <f>IFERROR(Table2[[#This Row],[CCCM_PIN]]*$W218,)</f>
        <v>0</v>
      </c>
      <c r="AN218" s="1">
        <f>IFERROR(Table2[[#This Row],[ERL_PIN]]*$W218,)</f>
        <v>35937</v>
      </c>
      <c r="AO218" s="1">
        <f>IFERROR(Table2[[#This Row],[NFI_PIN]]*$W218,)</f>
        <v>8782.7999999999993</v>
      </c>
      <c r="AP218" s="1">
        <f>IFERROR(Table2[[#This Row],[Nutrition_PIN]]*$W218,)</f>
        <v>9436.5861016186464</v>
      </c>
      <c r="AQ218" s="1">
        <f>IFERROR(Table2[[#This Row],[Education_PIN]]*$W218,)</f>
        <v>18502.04</v>
      </c>
      <c r="AR218" s="1">
        <f>IFERROR(Table2[[#This Row],[Shelter_PIN]]*$W218,)</f>
        <v>15149.4</v>
      </c>
      <c r="AS218" s="1">
        <f>IFERROR(Table2[[#This Row],[WASH_PIN]]*$W218,)</f>
        <v>37328.400000000001</v>
      </c>
      <c r="AT218" s="1">
        <f>IFERROR(Table2[[#This Row],[WASH_acute_PIN]]*$W218,)</f>
        <v>28996.2</v>
      </c>
      <c r="AU218" s="1">
        <f>IFERROR(Table2[[#This Row],[Protection_PIN]]*$W218,)</f>
        <v>29862.6</v>
      </c>
      <c r="AV218" s="1">
        <f>IFERROR(Table2[[#This Row],[Food_PIN]]*$W218,)</f>
        <v>31585.56923076923</v>
      </c>
      <c r="AW218" s="1">
        <f>IFERROR(Table2[[#This Row],[Protection_CP_PIN]]*$W218,)</f>
        <v>14272.56</v>
      </c>
      <c r="AX218" s="1">
        <f>IFERROR(Table2[[#This Row],[Protection_GBV_PIN]]*$W218,)</f>
        <v>14684.4</v>
      </c>
      <c r="AY218" s="1">
        <f>IFERROR(Table2[[#This Row],[Protection_MA_PIN]]*$W218,)</f>
        <v>20281.2</v>
      </c>
      <c r="AZ218" s="1">
        <v>4</v>
      </c>
      <c r="BA218" s="1">
        <v>3</v>
      </c>
      <c r="BB218" s="1">
        <v>5</v>
      </c>
      <c r="BC218" s="1">
        <v>3</v>
      </c>
      <c r="BD218" s="1">
        <v>4</v>
      </c>
      <c r="BE218" s="1">
        <v>5</v>
      </c>
      <c r="BF218" s="1">
        <v>4</v>
      </c>
      <c r="BG218" s="1">
        <v>4</v>
      </c>
      <c r="BH218" s="1">
        <v>4</v>
      </c>
      <c r="BI218" s="1">
        <v>4</v>
      </c>
      <c r="BJ218" s="1">
        <v>4</v>
      </c>
      <c r="BK218" s="1" t="s">
        <v>665</v>
      </c>
      <c r="BL218" s="1">
        <v>4</v>
      </c>
    </row>
    <row r="219" spans="1:64" x14ac:dyDescent="0.35">
      <c r="A219" t="s">
        <v>28</v>
      </c>
      <c r="B219" t="s">
        <v>761</v>
      </c>
      <c r="C219" t="s">
        <v>29</v>
      </c>
      <c r="D219" t="s">
        <v>30</v>
      </c>
      <c r="E219" t="s">
        <v>907</v>
      </c>
      <c r="F219" t="s">
        <v>217</v>
      </c>
      <c r="G219" t="s">
        <v>908</v>
      </c>
      <c r="H219" s="1">
        <v>32899</v>
      </c>
      <c r="I219" s="1" t="s">
        <v>665</v>
      </c>
      <c r="J219" s="1">
        <v>64455</v>
      </c>
      <c r="K219" s="1">
        <v>19739</v>
      </c>
      <c r="L219" s="1">
        <v>23077.431894475074</v>
      </c>
      <c r="M219" s="1">
        <v>8854.0845103827105</v>
      </c>
      <c r="N219" s="1">
        <v>14231</v>
      </c>
      <c r="O219" s="1">
        <v>34886.940307436336</v>
      </c>
      <c r="P219" s="1">
        <v>24485</v>
      </c>
      <c r="Q219" s="1">
        <v>52638</v>
      </c>
      <c r="R219" s="1">
        <v>47703.549999999996</v>
      </c>
      <c r="S219" s="1">
        <v>21737.1</v>
      </c>
      <c r="T219" s="1">
        <v>30002</v>
      </c>
      <c r="U219" s="1">
        <v>41992</v>
      </c>
      <c r="V219" s="3">
        <f>_xlfn.XLOOKUP(Table2[[#This Row],[admin3Pcode]],'Inter-sector dataset'!F:F,'Inter-sector dataset'!Q:Q)</f>
        <v>0</v>
      </c>
      <c r="W219" s="3">
        <f>_xlfn.XLOOKUP(Table2[[#This Row],[admin3Pcode]],'Inter-sector dataset'!F:F,'Inter-sector dataset'!R:R)</f>
        <v>0</v>
      </c>
      <c r="X219" s="1">
        <f>IFERROR(Table2[[#This Row],[Health_PIN]]*$V219,)</f>
        <v>0</v>
      </c>
      <c r="Y219" s="1">
        <f>IFERROR(Table2[[#This Row],[CCCM_PIN]]*$V219,)</f>
        <v>0</v>
      </c>
      <c r="Z219" s="1">
        <f>IFERROR(Table2[[#This Row],[ERL_PIN]]*$V219,)</f>
        <v>0</v>
      </c>
      <c r="AA219" s="1">
        <f>IFERROR(Table2[[#This Row],[NFI_PIN]]*$V219,)</f>
        <v>0</v>
      </c>
      <c r="AB219" s="1">
        <f>IFERROR(Table2[[#This Row],[Nutrition_PIN]]*$V219,)</f>
        <v>0</v>
      </c>
      <c r="AC219" s="1">
        <f>IFERROR(Table2[[#This Row],[Education_PIN]]*$V219,)</f>
        <v>0</v>
      </c>
      <c r="AD219" s="1">
        <f>IFERROR(Table2[[#This Row],[Shelter_PIN]]*$V219,)</f>
        <v>0</v>
      </c>
      <c r="AE219" s="1">
        <f>IFERROR(Table2[[#This Row],[WASH_PIN]]*$V219,)</f>
        <v>0</v>
      </c>
      <c r="AF219" s="1">
        <f>IFERROR(Table2[[#This Row],[WASH_acute_PIN]]*$V219,)</f>
        <v>0</v>
      </c>
      <c r="AG219" s="1">
        <f>IFERROR(Table2[[#This Row],[Protection_PIN]]*$V219,)</f>
        <v>0</v>
      </c>
      <c r="AH219" s="1">
        <f>IFERROR(Table2[[#This Row],[Food_PIN]]*$V219,)</f>
        <v>0</v>
      </c>
      <c r="AI219" s="1">
        <f>IFERROR(Table2[[#This Row],[Protection_CP_PIN]]*$V219,)</f>
        <v>0</v>
      </c>
      <c r="AJ219" s="1">
        <f>IFERROR(Table2[[#This Row],[Protection_GBV_PIN]]*$V219,)</f>
        <v>0</v>
      </c>
      <c r="AK219" s="1">
        <f>IFERROR(Table2[[#This Row],[Protection_MA_PIN]]*$V219,)</f>
        <v>0</v>
      </c>
      <c r="AL219" s="1">
        <f>IFERROR(Table2[[#This Row],[Health_PIN]]*$W219,)</f>
        <v>0</v>
      </c>
      <c r="AM219" s="1">
        <f>IFERROR(Table2[[#This Row],[CCCM_PIN]]*$W219,)</f>
        <v>0</v>
      </c>
      <c r="AN219" s="1">
        <f>IFERROR(Table2[[#This Row],[ERL_PIN]]*$W219,)</f>
        <v>0</v>
      </c>
      <c r="AO219" s="1">
        <f>IFERROR(Table2[[#This Row],[NFI_PIN]]*$W219,)</f>
        <v>0</v>
      </c>
      <c r="AP219" s="1">
        <f>IFERROR(Table2[[#This Row],[Nutrition_PIN]]*$W219,)</f>
        <v>0</v>
      </c>
      <c r="AQ219" s="1">
        <f>IFERROR(Table2[[#This Row],[Education_PIN]]*$W219,)</f>
        <v>0</v>
      </c>
      <c r="AR219" s="1">
        <f>IFERROR(Table2[[#This Row],[Shelter_PIN]]*$W219,)</f>
        <v>0</v>
      </c>
      <c r="AS219" s="1">
        <f>IFERROR(Table2[[#This Row],[WASH_PIN]]*$W219,)</f>
        <v>0</v>
      </c>
      <c r="AT219" s="1">
        <f>IFERROR(Table2[[#This Row],[WASH_acute_PIN]]*$W219,)</f>
        <v>0</v>
      </c>
      <c r="AU219" s="1">
        <f>IFERROR(Table2[[#This Row],[Protection_PIN]]*$W219,)</f>
        <v>0</v>
      </c>
      <c r="AV219" s="1">
        <f>IFERROR(Table2[[#This Row],[Food_PIN]]*$W219,)</f>
        <v>0</v>
      </c>
      <c r="AW219" s="1">
        <f>IFERROR(Table2[[#This Row],[Protection_CP_PIN]]*$W219,)</f>
        <v>0</v>
      </c>
      <c r="AX219" s="1">
        <f>IFERROR(Table2[[#This Row],[Protection_GBV_PIN]]*$W219,)</f>
        <v>0</v>
      </c>
      <c r="AY219" s="1">
        <f>IFERROR(Table2[[#This Row],[Protection_MA_PIN]]*$W219,)</f>
        <v>0</v>
      </c>
      <c r="AZ219" s="1">
        <v>3</v>
      </c>
      <c r="BA219" s="1">
        <v>4</v>
      </c>
      <c r="BB219" s="1">
        <v>4</v>
      </c>
      <c r="BC219" s="1">
        <v>3</v>
      </c>
      <c r="BD219" s="1">
        <v>3</v>
      </c>
      <c r="BE219" s="1">
        <v>3</v>
      </c>
      <c r="BF219" s="1">
        <v>4</v>
      </c>
      <c r="BG219" s="1">
        <v>4</v>
      </c>
      <c r="BH219" s="1">
        <v>4</v>
      </c>
      <c r="BI219" s="1">
        <v>4</v>
      </c>
      <c r="BJ219" s="1">
        <v>4</v>
      </c>
      <c r="BK219" s="1" t="s">
        <v>665</v>
      </c>
      <c r="BL219" s="1">
        <v>4</v>
      </c>
    </row>
    <row r="220" spans="1:64" x14ac:dyDescent="0.35">
      <c r="A220" t="s">
        <v>104</v>
      </c>
      <c r="B220" t="s">
        <v>677</v>
      </c>
      <c r="C220" t="s">
        <v>105</v>
      </c>
      <c r="D220" t="s">
        <v>510</v>
      </c>
      <c r="E220" t="s">
        <v>909</v>
      </c>
      <c r="F220" t="s">
        <v>511</v>
      </c>
      <c r="G220" t="s">
        <v>910</v>
      </c>
      <c r="H220" s="1">
        <v>34161.5</v>
      </c>
      <c r="I220" s="1" t="s">
        <v>665</v>
      </c>
      <c r="J220" s="1">
        <v>55894</v>
      </c>
      <c r="K220" s="1">
        <v>17456</v>
      </c>
      <c r="L220" s="1">
        <v>13944.460536109729</v>
      </c>
      <c r="M220" s="1">
        <v>5076.5866674862909</v>
      </c>
      <c r="N220" s="1">
        <v>15778</v>
      </c>
      <c r="O220" s="1">
        <v>17362.430639655155</v>
      </c>
      <c r="P220" s="1">
        <v>2467</v>
      </c>
      <c r="Q220" s="1">
        <v>54658</v>
      </c>
      <c r="R220" s="1">
        <v>50103.533333333333</v>
      </c>
      <c r="S220" s="1">
        <v>18145.8</v>
      </c>
      <c r="T220" s="1">
        <v>27679</v>
      </c>
      <c r="U220" s="1">
        <v>67802</v>
      </c>
      <c r="V220" s="3">
        <f>_xlfn.XLOOKUP(Table2[[#This Row],[admin3Pcode]],'Inter-sector dataset'!F:F,'Inter-sector dataset'!Q:Q)</f>
        <v>0</v>
      </c>
      <c r="W220" s="3">
        <f>_xlfn.XLOOKUP(Table2[[#This Row],[admin3Pcode]],'Inter-sector dataset'!F:F,'Inter-sector dataset'!R:R)</f>
        <v>0</v>
      </c>
      <c r="X220" s="1">
        <f>IFERROR(Table2[[#This Row],[Health_PIN]]*$V220,)</f>
        <v>0</v>
      </c>
      <c r="Y220" s="1">
        <f>IFERROR(Table2[[#This Row],[CCCM_PIN]]*$V220,)</f>
        <v>0</v>
      </c>
      <c r="Z220" s="1">
        <f>IFERROR(Table2[[#This Row],[ERL_PIN]]*$V220,)</f>
        <v>0</v>
      </c>
      <c r="AA220" s="1">
        <f>IFERROR(Table2[[#This Row],[NFI_PIN]]*$V220,)</f>
        <v>0</v>
      </c>
      <c r="AB220" s="1">
        <f>IFERROR(Table2[[#This Row],[Nutrition_PIN]]*$V220,)</f>
        <v>0</v>
      </c>
      <c r="AC220" s="1">
        <f>IFERROR(Table2[[#This Row],[Education_PIN]]*$V220,)</f>
        <v>0</v>
      </c>
      <c r="AD220" s="1">
        <f>IFERROR(Table2[[#This Row],[Shelter_PIN]]*$V220,)</f>
        <v>0</v>
      </c>
      <c r="AE220" s="1">
        <f>IFERROR(Table2[[#This Row],[WASH_PIN]]*$V220,)</f>
        <v>0</v>
      </c>
      <c r="AF220" s="1">
        <f>IFERROR(Table2[[#This Row],[WASH_acute_PIN]]*$V220,)</f>
        <v>0</v>
      </c>
      <c r="AG220" s="1">
        <f>IFERROR(Table2[[#This Row],[Protection_PIN]]*$V220,)</f>
        <v>0</v>
      </c>
      <c r="AH220" s="1">
        <f>IFERROR(Table2[[#This Row],[Food_PIN]]*$V220,)</f>
        <v>0</v>
      </c>
      <c r="AI220" s="1">
        <f>IFERROR(Table2[[#This Row],[Protection_CP_PIN]]*$V220,)</f>
        <v>0</v>
      </c>
      <c r="AJ220" s="1">
        <f>IFERROR(Table2[[#This Row],[Protection_GBV_PIN]]*$V220,)</f>
        <v>0</v>
      </c>
      <c r="AK220" s="1">
        <f>IFERROR(Table2[[#This Row],[Protection_MA_PIN]]*$V220,)</f>
        <v>0</v>
      </c>
      <c r="AL220" s="1">
        <f>IFERROR(Table2[[#This Row],[Health_PIN]]*$W220,)</f>
        <v>0</v>
      </c>
      <c r="AM220" s="1">
        <f>IFERROR(Table2[[#This Row],[CCCM_PIN]]*$W220,)</f>
        <v>0</v>
      </c>
      <c r="AN220" s="1">
        <f>IFERROR(Table2[[#This Row],[ERL_PIN]]*$W220,)</f>
        <v>0</v>
      </c>
      <c r="AO220" s="1">
        <f>IFERROR(Table2[[#This Row],[NFI_PIN]]*$W220,)</f>
        <v>0</v>
      </c>
      <c r="AP220" s="1">
        <f>IFERROR(Table2[[#This Row],[Nutrition_PIN]]*$W220,)</f>
        <v>0</v>
      </c>
      <c r="AQ220" s="1">
        <f>IFERROR(Table2[[#This Row],[Education_PIN]]*$W220,)</f>
        <v>0</v>
      </c>
      <c r="AR220" s="1">
        <f>IFERROR(Table2[[#This Row],[Shelter_PIN]]*$W220,)</f>
        <v>0</v>
      </c>
      <c r="AS220" s="1">
        <f>IFERROR(Table2[[#This Row],[WASH_PIN]]*$W220,)</f>
        <v>0</v>
      </c>
      <c r="AT220" s="1">
        <f>IFERROR(Table2[[#This Row],[WASH_acute_PIN]]*$W220,)</f>
        <v>0</v>
      </c>
      <c r="AU220" s="1">
        <f>IFERROR(Table2[[#This Row],[Protection_PIN]]*$W220,)</f>
        <v>0</v>
      </c>
      <c r="AV220" s="1">
        <f>IFERROR(Table2[[#This Row],[Food_PIN]]*$W220,)</f>
        <v>0</v>
      </c>
      <c r="AW220" s="1">
        <f>IFERROR(Table2[[#This Row],[Protection_CP_PIN]]*$W220,)</f>
        <v>0</v>
      </c>
      <c r="AX220" s="1">
        <f>IFERROR(Table2[[#This Row],[Protection_GBV_PIN]]*$W220,)</f>
        <v>0</v>
      </c>
      <c r="AY220" s="1">
        <f>IFERROR(Table2[[#This Row],[Protection_MA_PIN]]*$W220,)</f>
        <v>0</v>
      </c>
      <c r="AZ220" s="1">
        <v>3</v>
      </c>
      <c r="BA220" s="1">
        <v>3</v>
      </c>
      <c r="BB220" s="1">
        <v>4</v>
      </c>
      <c r="BC220" s="1">
        <v>3</v>
      </c>
      <c r="BD220" s="1">
        <v>3</v>
      </c>
      <c r="BE220" s="1">
        <v>3</v>
      </c>
      <c r="BF220" s="1">
        <v>4</v>
      </c>
      <c r="BG220" s="1">
        <v>4</v>
      </c>
      <c r="BH220" s="1">
        <v>4</v>
      </c>
      <c r="BI220" s="1">
        <v>4</v>
      </c>
      <c r="BJ220" s="1">
        <v>4</v>
      </c>
      <c r="BK220" s="1" t="s">
        <v>665</v>
      </c>
      <c r="BL220" s="1">
        <v>3</v>
      </c>
    </row>
    <row r="221" spans="1:64" x14ac:dyDescent="0.35">
      <c r="A221" t="s">
        <v>54</v>
      </c>
      <c r="B221" t="s">
        <v>709</v>
      </c>
      <c r="C221" t="s">
        <v>55</v>
      </c>
      <c r="D221" t="s">
        <v>441</v>
      </c>
      <c r="E221" t="s">
        <v>911</v>
      </c>
      <c r="F221" t="s">
        <v>442</v>
      </c>
      <c r="G221" t="s">
        <v>441</v>
      </c>
      <c r="H221" s="1">
        <v>51912.75</v>
      </c>
      <c r="I221" s="1">
        <v>11727</v>
      </c>
      <c r="J221" s="1">
        <v>33569</v>
      </c>
      <c r="K221" s="1">
        <v>20491</v>
      </c>
      <c r="L221" s="1">
        <v>22052.094701280668</v>
      </c>
      <c r="M221" s="1">
        <v>33915.033333333333</v>
      </c>
      <c r="N221" s="1">
        <v>16409</v>
      </c>
      <c r="O221" s="1">
        <v>63346.391604814467</v>
      </c>
      <c r="P221" s="1">
        <v>23893</v>
      </c>
      <c r="Q221" s="1">
        <v>55374</v>
      </c>
      <c r="R221" s="1">
        <v>58472.894736842107</v>
      </c>
      <c r="S221" s="1">
        <v>28872</v>
      </c>
      <c r="T221" s="1">
        <v>38228</v>
      </c>
      <c r="U221" s="1">
        <v>68910</v>
      </c>
      <c r="V221" s="3">
        <f>_xlfn.XLOOKUP(Table2[[#This Row],[admin3Pcode]],'Inter-sector dataset'!F:F,'Inter-sector dataset'!Q:Q)</f>
        <v>0.65</v>
      </c>
      <c r="W221" s="3">
        <f>_xlfn.XLOOKUP(Table2[[#This Row],[admin3Pcode]],'Inter-sector dataset'!F:F,'Inter-sector dataset'!R:R)</f>
        <v>0</v>
      </c>
      <c r="X221" s="1">
        <f>IFERROR(Table2[[#This Row],[Health_PIN]]*$V221,)</f>
        <v>33743.287499999999</v>
      </c>
      <c r="Y221" s="1">
        <f>IFERROR(Table2[[#This Row],[CCCM_PIN]]*$V221,)</f>
        <v>7622.55</v>
      </c>
      <c r="Z221" s="1">
        <f>IFERROR(Table2[[#This Row],[ERL_PIN]]*$V221,)</f>
        <v>21819.850000000002</v>
      </c>
      <c r="AA221" s="1">
        <f>IFERROR(Table2[[#This Row],[NFI_PIN]]*$V221,)</f>
        <v>13319.15</v>
      </c>
      <c r="AB221" s="1">
        <f>IFERROR(Table2[[#This Row],[Nutrition_PIN]]*$V221,)</f>
        <v>14333.861555832435</v>
      </c>
      <c r="AC221" s="1">
        <f>IFERROR(Table2[[#This Row],[Education_PIN]]*$V221,)</f>
        <v>22044.771666666667</v>
      </c>
      <c r="AD221" s="1">
        <f>IFERROR(Table2[[#This Row],[Shelter_PIN]]*$V221,)</f>
        <v>10665.85</v>
      </c>
      <c r="AE221" s="1">
        <f>IFERROR(Table2[[#This Row],[WASH_PIN]]*$V221,)</f>
        <v>41175.154543129407</v>
      </c>
      <c r="AF221" s="1">
        <f>IFERROR(Table2[[#This Row],[WASH_acute_PIN]]*$V221,)</f>
        <v>15530.45</v>
      </c>
      <c r="AG221" s="1">
        <f>IFERROR(Table2[[#This Row],[Protection_PIN]]*$V221,)</f>
        <v>35993.1</v>
      </c>
      <c r="AH221" s="1">
        <f>IFERROR(Table2[[#This Row],[Food_PIN]]*$V221,)</f>
        <v>38007.381578947374</v>
      </c>
      <c r="AI221" s="1">
        <f>IFERROR(Table2[[#This Row],[Protection_CP_PIN]]*$V221,)</f>
        <v>18766.8</v>
      </c>
      <c r="AJ221" s="1">
        <f>IFERROR(Table2[[#This Row],[Protection_GBV_PIN]]*$V221,)</f>
        <v>24848.2</v>
      </c>
      <c r="AK221" s="1">
        <f>IFERROR(Table2[[#This Row],[Protection_MA_PIN]]*$V221,)</f>
        <v>44791.5</v>
      </c>
      <c r="AL221" s="1">
        <f>IFERROR(Table2[[#This Row],[Health_PIN]]*$W221,)</f>
        <v>0</v>
      </c>
      <c r="AM221" s="1">
        <f>IFERROR(Table2[[#This Row],[CCCM_PIN]]*$W221,)</f>
        <v>0</v>
      </c>
      <c r="AN221" s="1">
        <f>IFERROR(Table2[[#This Row],[ERL_PIN]]*$W221,)</f>
        <v>0</v>
      </c>
      <c r="AO221" s="1">
        <f>IFERROR(Table2[[#This Row],[NFI_PIN]]*$W221,)</f>
        <v>0</v>
      </c>
      <c r="AP221" s="1">
        <f>IFERROR(Table2[[#This Row],[Nutrition_PIN]]*$W221,)</f>
        <v>0</v>
      </c>
      <c r="AQ221" s="1">
        <f>IFERROR(Table2[[#This Row],[Education_PIN]]*$W221,)</f>
        <v>0</v>
      </c>
      <c r="AR221" s="1">
        <f>IFERROR(Table2[[#This Row],[Shelter_PIN]]*$W221,)</f>
        <v>0</v>
      </c>
      <c r="AS221" s="1">
        <f>IFERROR(Table2[[#This Row],[WASH_PIN]]*$W221,)</f>
        <v>0</v>
      </c>
      <c r="AT221" s="1">
        <f>IFERROR(Table2[[#This Row],[WASH_acute_PIN]]*$W221,)</f>
        <v>0</v>
      </c>
      <c r="AU221" s="1">
        <f>IFERROR(Table2[[#This Row],[Protection_PIN]]*$W221,)</f>
        <v>0</v>
      </c>
      <c r="AV221" s="1">
        <f>IFERROR(Table2[[#This Row],[Food_PIN]]*$W221,)</f>
        <v>0</v>
      </c>
      <c r="AW221" s="1">
        <f>IFERROR(Table2[[#This Row],[Protection_CP_PIN]]*$W221,)</f>
        <v>0</v>
      </c>
      <c r="AX221" s="1">
        <f>IFERROR(Table2[[#This Row],[Protection_GBV_PIN]]*$W221,)</f>
        <v>0</v>
      </c>
      <c r="AY221" s="1">
        <f>IFERROR(Table2[[#This Row],[Protection_MA_PIN]]*$W221,)</f>
        <v>0</v>
      </c>
      <c r="AZ221" s="1">
        <v>3</v>
      </c>
      <c r="BA221" s="1">
        <v>4</v>
      </c>
      <c r="BB221" s="1">
        <v>5</v>
      </c>
      <c r="BC221" s="1">
        <v>3</v>
      </c>
      <c r="BD221" s="1">
        <v>3</v>
      </c>
      <c r="BE221" s="1">
        <v>4</v>
      </c>
      <c r="BF221" s="1">
        <v>4</v>
      </c>
      <c r="BG221" s="1">
        <v>4</v>
      </c>
      <c r="BH221" s="1">
        <v>5</v>
      </c>
      <c r="BI221" s="1">
        <v>4</v>
      </c>
      <c r="BJ221" s="1">
        <v>4</v>
      </c>
      <c r="BK221" s="1">
        <v>3</v>
      </c>
      <c r="BL221" s="1">
        <v>4</v>
      </c>
    </row>
    <row r="222" spans="1:64" x14ac:dyDescent="0.35">
      <c r="A222" t="s">
        <v>17</v>
      </c>
      <c r="B222" t="s">
        <v>663</v>
      </c>
      <c r="C222" t="s">
        <v>18</v>
      </c>
      <c r="D222" t="s">
        <v>498</v>
      </c>
      <c r="E222" t="s">
        <v>912</v>
      </c>
      <c r="F222" t="s">
        <v>499</v>
      </c>
      <c r="G222" t="s">
        <v>498</v>
      </c>
      <c r="H222" s="1">
        <v>34937</v>
      </c>
      <c r="I222" s="1" t="s">
        <v>665</v>
      </c>
      <c r="J222" s="1">
        <v>62059</v>
      </c>
      <c r="K222" s="1">
        <v>14094</v>
      </c>
      <c r="L222" s="1">
        <v>18713.609427390264</v>
      </c>
      <c r="M222" s="1">
        <v>9308.0295375945407</v>
      </c>
      <c r="N222" s="1">
        <v>13975</v>
      </c>
      <c r="O222" s="1">
        <v>29511.23249933662</v>
      </c>
      <c r="P222" s="1">
        <v>13313</v>
      </c>
      <c r="Q222" s="1">
        <v>55899</v>
      </c>
      <c r="R222" s="1">
        <v>44641.722222222226</v>
      </c>
      <c r="S222" s="1">
        <v>17775.3</v>
      </c>
      <c r="T222" s="1">
        <v>32856</v>
      </c>
      <c r="U222" s="1">
        <v>51401</v>
      </c>
      <c r="V222" s="3">
        <f>_xlfn.XLOOKUP(Table2[[#This Row],[admin3Pcode]],'Inter-sector dataset'!F:F,'Inter-sector dataset'!Q:Q)</f>
        <v>0</v>
      </c>
      <c r="W222" s="3">
        <f>_xlfn.XLOOKUP(Table2[[#This Row],[admin3Pcode]],'Inter-sector dataset'!F:F,'Inter-sector dataset'!R:R)</f>
        <v>0</v>
      </c>
      <c r="X222" s="1">
        <f>IFERROR(Table2[[#This Row],[Health_PIN]]*$V222,)</f>
        <v>0</v>
      </c>
      <c r="Y222" s="1">
        <f>IFERROR(Table2[[#This Row],[CCCM_PIN]]*$V222,)</f>
        <v>0</v>
      </c>
      <c r="Z222" s="1">
        <f>IFERROR(Table2[[#This Row],[ERL_PIN]]*$V222,)</f>
        <v>0</v>
      </c>
      <c r="AA222" s="1">
        <f>IFERROR(Table2[[#This Row],[NFI_PIN]]*$V222,)</f>
        <v>0</v>
      </c>
      <c r="AB222" s="1">
        <f>IFERROR(Table2[[#This Row],[Nutrition_PIN]]*$V222,)</f>
        <v>0</v>
      </c>
      <c r="AC222" s="1">
        <f>IFERROR(Table2[[#This Row],[Education_PIN]]*$V222,)</f>
        <v>0</v>
      </c>
      <c r="AD222" s="1">
        <f>IFERROR(Table2[[#This Row],[Shelter_PIN]]*$V222,)</f>
        <v>0</v>
      </c>
      <c r="AE222" s="1">
        <f>IFERROR(Table2[[#This Row],[WASH_PIN]]*$V222,)</f>
        <v>0</v>
      </c>
      <c r="AF222" s="1">
        <f>IFERROR(Table2[[#This Row],[WASH_acute_PIN]]*$V222,)</f>
        <v>0</v>
      </c>
      <c r="AG222" s="1">
        <f>IFERROR(Table2[[#This Row],[Protection_PIN]]*$V222,)</f>
        <v>0</v>
      </c>
      <c r="AH222" s="1">
        <f>IFERROR(Table2[[#This Row],[Food_PIN]]*$V222,)</f>
        <v>0</v>
      </c>
      <c r="AI222" s="1">
        <f>IFERROR(Table2[[#This Row],[Protection_CP_PIN]]*$V222,)</f>
        <v>0</v>
      </c>
      <c r="AJ222" s="1">
        <f>IFERROR(Table2[[#This Row],[Protection_GBV_PIN]]*$V222,)</f>
        <v>0</v>
      </c>
      <c r="AK222" s="1">
        <f>IFERROR(Table2[[#This Row],[Protection_MA_PIN]]*$V222,)</f>
        <v>0</v>
      </c>
      <c r="AL222" s="1">
        <f>IFERROR(Table2[[#This Row],[Health_PIN]]*$W222,)</f>
        <v>0</v>
      </c>
      <c r="AM222" s="1">
        <f>IFERROR(Table2[[#This Row],[CCCM_PIN]]*$W222,)</f>
        <v>0</v>
      </c>
      <c r="AN222" s="1">
        <f>IFERROR(Table2[[#This Row],[ERL_PIN]]*$W222,)</f>
        <v>0</v>
      </c>
      <c r="AO222" s="1">
        <f>IFERROR(Table2[[#This Row],[NFI_PIN]]*$W222,)</f>
        <v>0</v>
      </c>
      <c r="AP222" s="1">
        <f>IFERROR(Table2[[#This Row],[Nutrition_PIN]]*$W222,)</f>
        <v>0</v>
      </c>
      <c r="AQ222" s="1">
        <f>IFERROR(Table2[[#This Row],[Education_PIN]]*$W222,)</f>
        <v>0</v>
      </c>
      <c r="AR222" s="1">
        <f>IFERROR(Table2[[#This Row],[Shelter_PIN]]*$W222,)</f>
        <v>0</v>
      </c>
      <c r="AS222" s="1">
        <f>IFERROR(Table2[[#This Row],[WASH_PIN]]*$W222,)</f>
        <v>0</v>
      </c>
      <c r="AT222" s="1">
        <f>IFERROR(Table2[[#This Row],[WASH_acute_PIN]]*$W222,)</f>
        <v>0</v>
      </c>
      <c r="AU222" s="1">
        <f>IFERROR(Table2[[#This Row],[Protection_PIN]]*$W222,)</f>
        <v>0</v>
      </c>
      <c r="AV222" s="1">
        <f>IFERROR(Table2[[#This Row],[Food_PIN]]*$W222,)</f>
        <v>0</v>
      </c>
      <c r="AW222" s="1">
        <f>IFERROR(Table2[[#This Row],[Protection_CP_PIN]]*$W222,)</f>
        <v>0</v>
      </c>
      <c r="AX222" s="1">
        <f>IFERROR(Table2[[#This Row],[Protection_GBV_PIN]]*$W222,)</f>
        <v>0</v>
      </c>
      <c r="AY222" s="1">
        <f>IFERROR(Table2[[#This Row],[Protection_MA_PIN]]*$W222,)</f>
        <v>0</v>
      </c>
      <c r="AZ222" s="1">
        <v>2</v>
      </c>
      <c r="BA222" s="1">
        <v>3</v>
      </c>
      <c r="BB222" s="1">
        <v>5</v>
      </c>
      <c r="BC222" s="1">
        <v>3</v>
      </c>
      <c r="BD222" s="1">
        <v>3</v>
      </c>
      <c r="BE222" s="1">
        <v>3</v>
      </c>
      <c r="BF222" s="1">
        <v>4</v>
      </c>
      <c r="BG222" s="1">
        <v>4</v>
      </c>
      <c r="BH222" s="1">
        <v>4</v>
      </c>
      <c r="BI222" s="1">
        <v>4</v>
      </c>
      <c r="BJ222" s="1">
        <v>4</v>
      </c>
      <c r="BK222" s="1" t="s">
        <v>665</v>
      </c>
      <c r="BL222" s="1">
        <v>3</v>
      </c>
    </row>
    <row r="223" spans="1:64" x14ac:dyDescent="0.35">
      <c r="A223" t="s">
        <v>54</v>
      </c>
      <c r="B223" t="s">
        <v>709</v>
      </c>
      <c r="C223" t="s">
        <v>55</v>
      </c>
      <c r="D223" t="s">
        <v>314</v>
      </c>
      <c r="E223" t="s">
        <v>913</v>
      </c>
      <c r="F223" t="s">
        <v>315</v>
      </c>
      <c r="G223" t="s">
        <v>914</v>
      </c>
      <c r="H223" s="1">
        <v>71363</v>
      </c>
      <c r="I223" s="1">
        <v>2581</v>
      </c>
      <c r="J223" s="1">
        <v>27833</v>
      </c>
      <c r="K223" s="1">
        <v>28690</v>
      </c>
      <c r="L223" s="1">
        <v>22423.380639555158</v>
      </c>
      <c r="M223" s="1">
        <v>24617.1</v>
      </c>
      <c r="N223" s="1">
        <v>29470</v>
      </c>
      <c r="O223" s="1">
        <v>69997.632957308102</v>
      </c>
      <c r="P223" s="1">
        <v>20162</v>
      </c>
      <c r="Q223" s="1">
        <v>57090</v>
      </c>
      <c r="R223" s="1">
        <v>48114.82</v>
      </c>
      <c r="S223" s="1">
        <v>24936.3</v>
      </c>
      <c r="T223" s="1">
        <v>30244</v>
      </c>
      <c r="U223" s="1">
        <v>71363</v>
      </c>
      <c r="V223" s="3">
        <f>_xlfn.XLOOKUP(Table2[[#This Row],[admin3Pcode]],'Inter-sector dataset'!F:F,'Inter-sector dataset'!Q:Q)</f>
        <v>0.47</v>
      </c>
      <c r="W223" s="3">
        <f>_xlfn.XLOOKUP(Table2[[#This Row],[admin3Pcode]],'Inter-sector dataset'!F:F,'Inter-sector dataset'!R:R)</f>
        <v>0</v>
      </c>
      <c r="X223" s="1">
        <f>IFERROR(Table2[[#This Row],[Health_PIN]]*$V223,)</f>
        <v>33540.61</v>
      </c>
      <c r="Y223" s="1">
        <f>IFERROR(Table2[[#This Row],[CCCM_PIN]]*$V223,)</f>
        <v>1213.07</v>
      </c>
      <c r="Z223" s="1">
        <f>IFERROR(Table2[[#This Row],[ERL_PIN]]*$V223,)</f>
        <v>13081.509999999998</v>
      </c>
      <c r="AA223" s="1">
        <f>IFERROR(Table2[[#This Row],[NFI_PIN]]*$V223,)</f>
        <v>13484.3</v>
      </c>
      <c r="AB223" s="1">
        <f>IFERROR(Table2[[#This Row],[Nutrition_PIN]]*$V223,)</f>
        <v>10538.988900590924</v>
      </c>
      <c r="AC223" s="1">
        <f>IFERROR(Table2[[#This Row],[Education_PIN]]*$V223,)</f>
        <v>11570.036999999998</v>
      </c>
      <c r="AD223" s="1">
        <f>IFERROR(Table2[[#This Row],[Shelter_PIN]]*$V223,)</f>
        <v>13850.9</v>
      </c>
      <c r="AE223" s="1">
        <f>IFERROR(Table2[[#This Row],[WASH_PIN]]*$V223,)</f>
        <v>32898.887489934808</v>
      </c>
      <c r="AF223" s="1">
        <f>IFERROR(Table2[[#This Row],[WASH_acute_PIN]]*$V223,)</f>
        <v>9476.14</v>
      </c>
      <c r="AG223" s="1">
        <f>IFERROR(Table2[[#This Row],[Protection_PIN]]*$V223,)</f>
        <v>26832.3</v>
      </c>
      <c r="AH223" s="1">
        <f>IFERROR(Table2[[#This Row],[Food_PIN]]*$V223,)</f>
        <v>22613.965399999997</v>
      </c>
      <c r="AI223" s="1">
        <f>IFERROR(Table2[[#This Row],[Protection_CP_PIN]]*$V223,)</f>
        <v>11720.061</v>
      </c>
      <c r="AJ223" s="1">
        <f>IFERROR(Table2[[#This Row],[Protection_GBV_PIN]]*$V223,)</f>
        <v>14214.679999999998</v>
      </c>
      <c r="AK223" s="1">
        <f>IFERROR(Table2[[#This Row],[Protection_MA_PIN]]*$V223,)</f>
        <v>33540.61</v>
      </c>
      <c r="AL223" s="1">
        <f>IFERROR(Table2[[#This Row],[Health_PIN]]*$W223,)</f>
        <v>0</v>
      </c>
      <c r="AM223" s="1">
        <f>IFERROR(Table2[[#This Row],[CCCM_PIN]]*$W223,)</f>
        <v>0</v>
      </c>
      <c r="AN223" s="1">
        <f>IFERROR(Table2[[#This Row],[ERL_PIN]]*$W223,)</f>
        <v>0</v>
      </c>
      <c r="AO223" s="1">
        <f>IFERROR(Table2[[#This Row],[NFI_PIN]]*$W223,)</f>
        <v>0</v>
      </c>
      <c r="AP223" s="1">
        <f>IFERROR(Table2[[#This Row],[Nutrition_PIN]]*$W223,)</f>
        <v>0</v>
      </c>
      <c r="AQ223" s="1">
        <f>IFERROR(Table2[[#This Row],[Education_PIN]]*$W223,)</f>
        <v>0</v>
      </c>
      <c r="AR223" s="1">
        <f>IFERROR(Table2[[#This Row],[Shelter_PIN]]*$W223,)</f>
        <v>0</v>
      </c>
      <c r="AS223" s="1">
        <f>IFERROR(Table2[[#This Row],[WASH_PIN]]*$W223,)</f>
        <v>0</v>
      </c>
      <c r="AT223" s="1">
        <f>IFERROR(Table2[[#This Row],[WASH_acute_PIN]]*$W223,)</f>
        <v>0</v>
      </c>
      <c r="AU223" s="1">
        <f>IFERROR(Table2[[#This Row],[Protection_PIN]]*$W223,)</f>
        <v>0</v>
      </c>
      <c r="AV223" s="1">
        <f>IFERROR(Table2[[#This Row],[Food_PIN]]*$W223,)</f>
        <v>0</v>
      </c>
      <c r="AW223" s="1">
        <f>IFERROR(Table2[[#This Row],[Protection_CP_PIN]]*$W223,)</f>
        <v>0</v>
      </c>
      <c r="AX223" s="1">
        <f>IFERROR(Table2[[#This Row],[Protection_GBV_PIN]]*$W223,)</f>
        <v>0</v>
      </c>
      <c r="AY223" s="1">
        <f>IFERROR(Table2[[#This Row],[Protection_MA_PIN]]*$W223,)</f>
        <v>0</v>
      </c>
      <c r="AZ223" s="1">
        <v>4</v>
      </c>
      <c r="BA223" s="1">
        <v>4</v>
      </c>
      <c r="BB223" s="1">
        <v>4</v>
      </c>
      <c r="BC223" s="1">
        <v>5</v>
      </c>
      <c r="BD223" s="1">
        <v>2</v>
      </c>
      <c r="BE223" s="1">
        <v>5</v>
      </c>
      <c r="BF223" s="1">
        <v>4</v>
      </c>
      <c r="BG223" s="1">
        <v>4</v>
      </c>
      <c r="BH223" s="1">
        <v>4</v>
      </c>
      <c r="BI223" s="1">
        <v>4</v>
      </c>
      <c r="BJ223" s="1">
        <v>4</v>
      </c>
      <c r="BK223" s="1">
        <v>3</v>
      </c>
      <c r="BL223" s="1">
        <v>4</v>
      </c>
    </row>
    <row r="224" spans="1:64" x14ac:dyDescent="0.35">
      <c r="A224" t="s">
        <v>192</v>
      </c>
      <c r="B224" t="s">
        <v>711</v>
      </c>
      <c r="C224" t="s">
        <v>193</v>
      </c>
      <c r="D224" t="s">
        <v>434</v>
      </c>
      <c r="E224" t="s">
        <v>915</v>
      </c>
      <c r="F224" t="s">
        <v>435</v>
      </c>
      <c r="G224" t="s">
        <v>434</v>
      </c>
      <c r="H224" s="1">
        <v>60222.75</v>
      </c>
      <c r="I224" s="1">
        <v>13888</v>
      </c>
      <c r="J224" s="1">
        <v>40043</v>
      </c>
      <c r="K224" s="1">
        <v>23287</v>
      </c>
      <c r="L224" s="1">
        <v>21803.617010170514</v>
      </c>
      <c r="M224" s="1">
        <v>39636.083333333336</v>
      </c>
      <c r="N224" s="1">
        <v>18144</v>
      </c>
      <c r="O224" s="1">
        <v>66624.588722531873</v>
      </c>
      <c r="P224" s="1">
        <v>31841</v>
      </c>
      <c r="Q224" s="1">
        <v>64238</v>
      </c>
      <c r="R224" s="1">
        <v>74121.86324786325</v>
      </c>
      <c r="S224" s="1">
        <v>40231.4</v>
      </c>
      <c r="T224" s="1">
        <v>32217</v>
      </c>
      <c r="U224" s="1">
        <v>75821</v>
      </c>
      <c r="V224" s="3">
        <f>_xlfn.XLOOKUP(Table2[[#This Row],[admin3Pcode]],'Inter-sector dataset'!F:F,'Inter-sector dataset'!Q:Q)</f>
        <v>1</v>
      </c>
      <c r="W224" s="3">
        <f>_xlfn.XLOOKUP(Table2[[#This Row],[admin3Pcode]],'Inter-sector dataset'!F:F,'Inter-sector dataset'!R:R)</f>
        <v>0</v>
      </c>
      <c r="X224" s="1">
        <f>IFERROR(Table2[[#This Row],[Health_PIN]]*$V224,)</f>
        <v>60222.75</v>
      </c>
      <c r="Y224" s="1">
        <f>IFERROR(Table2[[#This Row],[CCCM_PIN]]*$V224,)</f>
        <v>13888</v>
      </c>
      <c r="Z224" s="1">
        <f>IFERROR(Table2[[#This Row],[ERL_PIN]]*$V224,)</f>
        <v>40043</v>
      </c>
      <c r="AA224" s="1">
        <f>IFERROR(Table2[[#This Row],[NFI_PIN]]*$V224,)</f>
        <v>23287</v>
      </c>
      <c r="AB224" s="1">
        <f>IFERROR(Table2[[#This Row],[Nutrition_PIN]]*$V224,)</f>
        <v>21803.617010170514</v>
      </c>
      <c r="AC224" s="1">
        <f>IFERROR(Table2[[#This Row],[Education_PIN]]*$V224,)</f>
        <v>39636.083333333336</v>
      </c>
      <c r="AD224" s="1">
        <f>IFERROR(Table2[[#This Row],[Shelter_PIN]]*$V224,)</f>
        <v>18144</v>
      </c>
      <c r="AE224" s="1">
        <f>IFERROR(Table2[[#This Row],[WASH_PIN]]*$V224,)</f>
        <v>66624.588722531873</v>
      </c>
      <c r="AF224" s="1">
        <f>IFERROR(Table2[[#This Row],[WASH_acute_PIN]]*$V224,)</f>
        <v>31841</v>
      </c>
      <c r="AG224" s="1">
        <f>IFERROR(Table2[[#This Row],[Protection_PIN]]*$V224,)</f>
        <v>64238</v>
      </c>
      <c r="AH224" s="1">
        <f>IFERROR(Table2[[#This Row],[Food_PIN]]*$V224,)</f>
        <v>74121.86324786325</v>
      </c>
      <c r="AI224" s="1">
        <f>IFERROR(Table2[[#This Row],[Protection_CP_PIN]]*$V224,)</f>
        <v>40231.4</v>
      </c>
      <c r="AJ224" s="1">
        <f>IFERROR(Table2[[#This Row],[Protection_GBV_PIN]]*$V224,)</f>
        <v>32217</v>
      </c>
      <c r="AK224" s="1">
        <f>IFERROR(Table2[[#This Row],[Protection_MA_PIN]]*$V224,)</f>
        <v>75821</v>
      </c>
      <c r="AL224" s="1">
        <f>IFERROR(Table2[[#This Row],[Health_PIN]]*$W224,)</f>
        <v>0</v>
      </c>
      <c r="AM224" s="1">
        <f>IFERROR(Table2[[#This Row],[CCCM_PIN]]*$W224,)</f>
        <v>0</v>
      </c>
      <c r="AN224" s="1">
        <f>IFERROR(Table2[[#This Row],[ERL_PIN]]*$W224,)</f>
        <v>0</v>
      </c>
      <c r="AO224" s="1">
        <f>IFERROR(Table2[[#This Row],[NFI_PIN]]*$W224,)</f>
        <v>0</v>
      </c>
      <c r="AP224" s="1">
        <f>IFERROR(Table2[[#This Row],[Nutrition_PIN]]*$W224,)</f>
        <v>0</v>
      </c>
      <c r="AQ224" s="1">
        <f>IFERROR(Table2[[#This Row],[Education_PIN]]*$W224,)</f>
        <v>0</v>
      </c>
      <c r="AR224" s="1">
        <f>IFERROR(Table2[[#This Row],[Shelter_PIN]]*$W224,)</f>
        <v>0</v>
      </c>
      <c r="AS224" s="1">
        <f>IFERROR(Table2[[#This Row],[WASH_PIN]]*$W224,)</f>
        <v>0</v>
      </c>
      <c r="AT224" s="1">
        <f>IFERROR(Table2[[#This Row],[WASH_acute_PIN]]*$W224,)</f>
        <v>0</v>
      </c>
      <c r="AU224" s="1">
        <f>IFERROR(Table2[[#This Row],[Protection_PIN]]*$W224,)</f>
        <v>0</v>
      </c>
      <c r="AV224" s="1">
        <f>IFERROR(Table2[[#This Row],[Food_PIN]]*$W224,)</f>
        <v>0</v>
      </c>
      <c r="AW224" s="1">
        <f>IFERROR(Table2[[#This Row],[Protection_CP_PIN]]*$W224,)</f>
        <v>0</v>
      </c>
      <c r="AX224" s="1">
        <f>IFERROR(Table2[[#This Row],[Protection_GBV_PIN]]*$W224,)</f>
        <v>0</v>
      </c>
      <c r="AY224" s="1">
        <f>IFERROR(Table2[[#This Row],[Protection_MA_PIN]]*$W224,)</f>
        <v>0</v>
      </c>
      <c r="AZ224" s="1">
        <v>3</v>
      </c>
      <c r="BA224" s="1">
        <v>3</v>
      </c>
      <c r="BB224" s="1">
        <v>5</v>
      </c>
      <c r="BC224" s="1">
        <v>3</v>
      </c>
      <c r="BD224" s="1">
        <v>3</v>
      </c>
      <c r="BE224" s="1">
        <v>4</v>
      </c>
      <c r="BF224" s="1">
        <v>4</v>
      </c>
      <c r="BG224" s="1">
        <v>5</v>
      </c>
      <c r="BH224" s="1">
        <v>4</v>
      </c>
      <c r="BI224" s="1">
        <v>4</v>
      </c>
      <c r="BJ224" s="1">
        <v>4</v>
      </c>
      <c r="BK224" s="1">
        <v>3</v>
      </c>
      <c r="BL224" s="1">
        <v>4</v>
      </c>
    </row>
    <row r="225" spans="1:64" x14ac:dyDescent="0.35">
      <c r="A225" t="s">
        <v>104</v>
      </c>
      <c r="B225" t="s">
        <v>677</v>
      </c>
      <c r="C225" t="s">
        <v>105</v>
      </c>
      <c r="D225" t="s">
        <v>425</v>
      </c>
      <c r="E225" t="s">
        <v>916</v>
      </c>
      <c r="F225" t="s">
        <v>426</v>
      </c>
      <c r="G225" t="s">
        <v>425</v>
      </c>
      <c r="H225" s="1">
        <v>61704</v>
      </c>
      <c r="I225" s="1" t="s">
        <v>665</v>
      </c>
      <c r="J225" s="1">
        <v>29779</v>
      </c>
      <c r="K225" s="1">
        <v>21249</v>
      </c>
      <c r="L225" s="1">
        <v>18224.892528573473</v>
      </c>
      <c r="M225" s="1">
        <v>25498.016666666666</v>
      </c>
      <c r="N225" s="1">
        <v>44114</v>
      </c>
      <c r="O225" s="1">
        <v>81237.106967437168</v>
      </c>
      <c r="P225" s="1">
        <v>46258</v>
      </c>
      <c r="Q225" s="1">
        <v>65818</v>
      </c>
      <c r="R225" s="1">
        <v>73611.789473684214</v>
      </c>
      <c r="S225" s="1">
        <v>21538.799999999999</v>
      </c>
      <c r="T225" s="1">
        <v>41757</v>
      </c>
      <c r="U225" s="1">
        <v>82272</v>
      </c>
      <c r="V225" s="3">
        <f>_xlfn.XLOOKUP(Table2[[#This Row],[admin3Pcode]],'Inter-sector dataset'!F:F,'Inter-sector dataset'!Q:Q)</f>
        <v>0</v>
      </c>
      <c r="W225" s="3">
        <f>_xlfn.XLOOKUP(Table2[[#This Row],[admin3Pcode]],'Inter-sector dataset'!F:F,'Inter-sector dataset'!R:R)</f>
        <v>0</v>
      </c>
      <c r="X225" s="1">
        <f>IFERROR(Table2[[#This Row],[Health_PIN]]*$V225,)</f>
        <v>0</v>
      </c>
      <c r="Y225" s="1">
        <f>IFERROR(Table2[[#This Row],[CCCM_PIN]]*$V225,)</f>
        <v>0</v>
      </c>
      <c r="Z225" s="1">
        <f>IFERROR(Table2[[#This Row],[ERL_PIN]]*$V225,)</f>
        <v>0</v>
      </c>
      <c r="AA225" s="1">
        <f>IFERROR(Table2[[#This Row],[NFI_PIN]]*$V225,)</f>
        <v>0</v>
      </c>
      <c r="AB225" s="1">
        <f>IFERROR(Table2[[#This Row],[Nutrition_PIN]]*$V225,)</f>
        <v>0</v>
      </c>
      <c r="AC225" s="1">
        <f>IFERROR(Table2[[#This Row],[Education_PIN]]*$V225,)</f>
        <v>0</v>
      </c>
      <c r="AD225" s="1">
        <f>IFERROR(Table2[[#This Row],[Shelter_PIN]]*$V225,)</f>
        <v>0</v>
      </c>
      <c r="AE225" s="1">
        <f>IFERROR(Table2[[#This Row],[WASH_PIN]]*$V225,)</f>
        <v>0</v>
      </c>
      <c r="AF225" s="1">
        <f>IFERROR(Table2[[#This Row],[WASH_acute_PIN]]*$V225,)</f>
        <v>0</v>
      </c>
      <c r="AG225" s="1">
        <f>IFERROR(Table2[[#This Row],[Protection_PIN]]*$V225,)</f>
        <v>0</v>
      </c>
      <c r="AH225" s="1">
        <f>IFERROR(Table2[[#This Row],[Food_PIN]]*$V225,)</f>
        <v>0</v>
      </c>
      <c r="AI225" s="1">
        <f>IFERROR(Table2[[#This Row],[Protection_CP_PIN]]*$V225,)</f>
        <v>0</v>
      </c>
      <c r="AJ225" s="1">
        <f>IFERROR(Table2[[#This Row],[Protection_GBV_PIN]]*$V225,)</f>
        <v>0</v>
      </c>
      <c r="AK225" s="1">
        <f>IFERROR(Table2[[#This Row],[Protection_MA_PIN]]*$V225,)</f>
        <v>0</v>
      </c>
      <c r="AL225" s="1">
        <f>IFERROR(Table2[[#This Row],[Health_PIN]]*$W225,)</f>
        <v>0</v>
      </c>
      <c r="AM225" s="1">
        <f>IFERROR(Table2[[#This Row],[CCCM_PIN]]*$W225,)</f>
        <v>0</v>
      </c>
      <c r="AN225" s="1">
        <f>IFERROR(Table2[[#This Row],[ERL_PIN]]*$W225,)</f>
        <v>0</v>
      </c>
      <c r="AO225" s="1">
        <f>IFERROR(Table2[[#This Row],[NFI_PIN]]*$W225,)</f>
        <v>0</v>
      </c>
      <c r="AP225" s="1">
        <f>IFERROR(Table2[[#This Row],[Nutrition_PIN]]*$W225,)</f>
        <v>0</v>
      </c>
      <c r="AQ225" s="1">
        <f>IFERROR(Table2[[#This Row],[Education_PIN]]*$W225,)</f>
        <v>0</v>
      </c>
      <c r="AR225" s="1">
        <f>IFERROR(Table2[[#This Row],[Shelter_PIN]]*$W225,)</f>
        <v>0</v>
      </c>
      <c r="AS225" s="1">
        <f>IFERROR(Table2[[#This Row],[WASH_PIN]]*$W225,)</f>
        <v>0</v>
      </c>
      <c r="AT225" s="1">
        <f>IFERROR(Table2[[#This Row],[WASH_acute_PIN]]*$W225,)</f>
        <v>0</v>
      </c>
      <c r="AU225" s="1">
        <f>IFERROR(Table2[[#This Row],[Protection_PIN]]*$W225,)</f>
        <v>0</v>
      </c>
      <c r="AV225" s="1">
        <f>IFERROR(Table2[[#This Row],[Food_PIN]]*$W225,)</f>
        <v>0</v>
      </c>
      <c r="AW225" s="1">
        <f>IFERROR(Table2[[#This Row],[Protection_CP_PIN]]*$W225,)</f>
        <v>0</v>
      </c>
      <c r="AX225" s="1">
        <f>IFERROR(Table2[[#This Row],[Protection_GBV_PIN]]*$W225,)</f>
        <v>0</v>
      </c>
      <c r="AY225" s="1">
        <f>IFERROR(Table2[[#This Row],[Protection_MA_PIN]]*$W225,)</f>
        <v>0</v>
      </c>
      <c r="AZ225" s="1">
        <v>4</v>
      </c>
      <c r="BA225" s="1">
        <v>4</v>
      </c>
      <c r="BB225" s="1">
        <v>4</v>
      </c>
      <c r="BC225" s="1">
        <v>3</v>
      </c>
      <c r="BD225" s="1">
        <v>3</v>
      </c>
      <c r="BE225" s="1">
        <v>4</v>
      </c>
      <c r="BF225" s="1">
        <v>4</v>
      </c>
      <c r="BG225" s="1">
        <v>4</v>
      </c>
      <c r="BH225" s="1">
        <v>4</v>
      </c>
      <c r="BI225" s="1">
        <v>4</v>
      </c>
      <c r="BJ225" s="1">
        <v>4</v>
      </c>
      <c r="BK225" s="1" t="s">
        <v>665</v>
      </c>
      <c r="BL225" s="1">
        <v>4</v>
      </c>
    </row>
    <row r="226" spans="1:64" x14ac:dyDescent="0.35">
      <c r="A226" t="s">
        <v>157</v>
      </c>
      <c r="B226" t="s">
        <v>748</v>
      </c>
      <c r="C226" t="s">
        <v>158</v>
      </c>
      <c r="D226" t="s">
        <v>494</v>
      </c>
      <c r="E226" t="s">
        <v>917</v>
      </c>
      <c r="F226" t="s">
        <v>495</v>
      </c>
      <c r="G226" t="s">
        <v>494</v>
      </c>
      <c r="H226" s="1">
        <v>63765</v>
      </c>
      <c r="I226" s="1" t="s">
        <v>665</v>
      </c>
      <c r="J226" s="1">
        <v>15404</v>
      </c>
      <c r="K226" s="1">
        <v>0</v>
      </c>
      <c r="L226" s="1">
        <v>20674.39918544015</v>
      </c>
      <c r="M226" s="1">
        <v>26787.616666666665</v>
      </c>
      <c r="N226" s="1">
        <v>17004</v>
      </c>
      <c r="O226" s="1">
        <v>8478.401321390671</v>
      </c>
      <c r="P226" s="1">
        <v>0</v>
      </c>
      <c r="Q226" s="1">
        <v>68016</v>
      </c>
      <c r="R226" s="1">
        <v>60049.090909090912</v>
      </c>
      <c r="S226" s="1">
        <v>18003.299999999996</v>
      </c>
      <c r="T226" s="1">
        <v>34531</v>
      </c>
      <c r="U226" s="1">
        <v>72390</v>
      </c>
      <c r="V226" s="3">
        <f>_xlfn.XLOOKUP(Table2[[#This Row],[admin3Pcode]],'Inter-sector dataset'!F:F,'Inter-sector dataset'!Q:Q)</f>
        <v>0</v>
      </c>
      <c r="W226" s="3">
        <f>_xlfn.XLOOKUP(Table2[[#This Row],[admin3Pcode]],'Inter-sector dataset'!F:F,'Inter-sector dataset'!R:R)</f>
        <v>0</v>
      </c>
      <c r="X226" s="1">
        <f>IFERROR(Table2[[#This Row],[Health_PIN]]*$V226,)</f>
        <v>0</v>
      </c>
      <c r="Y226" s="1">
        <f>IFERROR(Table2[[#This Row],[CCCM_PIN]]*$V226,)</f>
        <v>0</v>
      </c>
      <c r="Z226" s="1">
        <f>IFERROR(Table2[[#This Row],[ERL_PIN]]*$V226,)</f>
        <v>0</v>
      </c>
      <c r="AA226" s="1">
        <f>IFERROR(Table2[[#This Row],[NFI_PIN]]*$V226,)</f>
        <v>0</v>
      </c>
      <c r="AB226" s="1">
        <f>IFERROR(Table2[[#This Row],[Nutrition_PIN]]*$V226,)</f>
        <v>0</v>
      </c>
      <c r="AC226" s="1">
        <f>IFERROR(Table2[[#This Row],[Education_PIN]]*$V226,)</f>
        <v>0</v>
      </c>
      <c r="AD226" s="1">
        <f>IFERROR(Table2[[#This Row],[Shelter_PIN]]*$V226,)</f>
        <v>0</v>
      </c>
      <c r="AE226" s="1">
        <f>IFERROR(Table2[[#This Row],[WASH_PIN]]*$V226,)</f>
        <v>0</v>
      </c>
      <c r="AF226" s="1">
        <f>IFERROR(Table2[[#This Row],[WASH_acute_PIN]]*$V226,)</f>
        <v>0</v>
      </c>
      <c r="AG226" s="1">
        <f>IFERROR(Table2[[#This Row],[Protection_PIN]]*$V226,)</f>
        <v>0</v>
      </c>
      <c r="AH226" s="1">
        <f>IFERROR(Table2[[#This Row],[Food_PIN]]*$V226,)</f>
        <v>0</v>
      </c>
      <c r="AI226" s="1">
        <f>IFERROR(Table2[[#This Row],[Protection_CP_PIN]]*$V226,)</f>
        <v>0</v>
      </c>
      <c r="AJ226" s="1">
        <f>IFERROR(Table2[[#This Row],[Protection_GBV_PIN]]*$V226,)</f>
        <v>0</v>
      </c>
      <c r="AK226" s="1">
        <f>IFERROR(Table2[[#This Row],[Protection_MA_PIN]]*$V226,)</f>
        <v>0</v>
      </c>
      <c r="AL226" s="1">
        <f>IFERROR(Table2[[#This Row],[Health_PIN]]*$W226,)</f>
        <v>0</v>
      </c>
      <c r="AM226" s="1">
        <f>IFERROR(Table2[[#This Row],[CCCM_PIN]]*$W226,)</f>
        <v>0</v>
      </c>
      <c r="AN226" s="1">
        <f>IFERROR(Table2[[#This Row],[ERL_PIN]]*$W226,)</f>
        <v>0</v>
      </c>
      <c r="AO226" s="1">
        <f>IFERROR(Table2[[#This Row],[NFI_PIN]]*$W226,)</f>
        <v>0</v>
      </c>
      <c r="AP226" s="1">
        <f>IFERROR(Table2[[#This Row],[Nutrition_PIN]]*$W226,)</f>
        <v>0</v>
      </c>
      <c r="AQ226" s="1">
        <f>IFERROR(Table2[[#This Row],[Education_PIN]]*$W226,)</f>
        <v>0</v>
      </c>
      <c r="AR226" s="1">
        <f>IFERROR(Table2[[#This Row],[Shelter_PIN]]*$W226,)</f>
        <v>0</v>
      </c>
      <c r="AS226" s="1">
        <f>IFERROR(Table2[[#This Row],[WASH_PIN]]*$W226,)</f>
        <v>0</v>
      </c>
      <c r="AT226" s="1">
        <f>IFERROR(Table2[[#This Row],[WASH_acute_PIN]]*$W226,)</f>
        <v>0</v>
      </c>
      <c r="AU226" s="1">
        <f>IFERROR(Table2[[#This Row],[Protection_PIN]]*$W226,)</f>
        <v>0</v>
      </c>
      <c r="AV226" s="1">
        <f>IFERROR(Table2[[#This Row],[Food_PIN]]*$W226,)</f>
        <v>0</v>
      </c>
      <c r="AW226" s="1">
        <f>IFERROR(Table2[[#This Row],[Protection_CP_PIN]]*$W226,)</f>
        <v>0</v>
      </c>
      <c r="AX226" s="1">
        <f>IFERROR(Table2[[#This Row],[Protection_GBV_PIN]]*$W226,)</f>
        <v>0</v>
      </c>
      <c r="AY226" s="1">
        <f>IFERROR(Table2[[#This Row],[Protection_MA_PIN]]*$W226,)</f>
        <v>0</v>
      </c>
      <c r="AZ226" s="1">
        <v>2</v>
      </c>
      <c r="BA226" s="1">
        <v>4</v>
      </c>
      <c r="BB226" s="1">
        <v>4</v>
      </c>
      <c r="BC226" s="1">
        <v>1</v>
      </c>
      <c r="BD226" s="1">
        <v>2</v>
      </c>
      <c r="BE226" s="1">
        <v>4</v>
      </c>
      <c r="BF226" s="1">
        <v>4</v>
      </c>
      <c r="BG226" s="1">
        <v>4</v>
      </c>
      <c r="BH226" s="1">
        <v>4</v>
      </c>
      <c r="BI226" s="1">
        <v>4</v>
      </c>
      <c r="BJ226" s="1">
        <v>4</v>
      </c>
      <c r="BK226" s="1" t="s">
        <v>665</v>
      </c>
      <c r="BL226" s="1">
        <v>2</v>
      </c>
    </row>
    <row r="227" spans="1:64" x14ac:dyDescent="0.35">
      <c r="A227" t="s">
        <v>54</v>
      </c>
      <c r="B227" t="s">
        <v>709</v>
      </c>
      <c r="C227" t="s">
        <v>55</v>
      </c>
      <c r="D227" t="s">
        <v>124</v>
      </c>
      <c r="E227" t="s">
        <v>918</v>
      </c>
      <c r="F227" t="s">
        <v>125</v>
      </c>
      <c r="G227" t="s">
        <v>124</v>
      </c>
      <c r="H227" s="1">
        <v>64566</v>
      </c>
      <c r="I227" s="1" t="s">
        <v>665</v>
      </c>
      <c r="J227" s="1">
        <v>18580</v>
      </c>
      <c r="K227" s="1">
        <v>93</v>
      </c>
      <c r="L227" s="1">
        <v>28169.209985314752</v>
      </c>
      <c r="M227" s="1">
        <v>8526.0057483967266</v>
      </c>
      <c r="N227" s="1">
        <v>17218</v>
      </c>
      <c r="O227" s="1">
        <v>9637.499375539106</v>
      </c>
      <c r="P227" s="1">
        <v>9</v>
      </c>
      <c r="Q227" s="1">
        <v>68870</v>
      </c>
      <c r="R227" s="1">
        <v>59371.034482758623</v>
      </c>
      <c r="S227" s="1">
        <v>22021.199999999997</v>
      </c>
      <c r="T227" s="1">
        <v>24573</v>
      </c>
      <c r="U227" s="1">
        <v>84285</v>
      </c>
      <c r="V227" s="3">
        <f>_xlfn.XLOOKUP(Table2[[#This Row],[admin3Pcode]],'Inter-sector dataset'!F:F,'Inter-sector dataset'!Q:Q)</f>
        <v>0</v>
      </c>
      <c r="W227" s="3">
        <f>_xlfn.XLOOKUP(Table2[[#This Row],[admin3Pcode]],'Inter-sector dataset'!F:F,'Inter-sector dataset'!R:R)</f>
        <v>0</v>
      </c>
      <c r="X227" s="1">
        <f>IFERROR(Table2[[#This Row],[Health_PIN]]*$V227,)</f>
        <v>0</v>
      </c>
      <c r="Y227" s="1">
        <f>IFERROR(Table2[[#This Row],[CCCM_PIN]]*$V227,)</f>
        <v>0</v>
      </c>
      <c r="Z227" s="1">
        <f>IFERROR(Table2[[#This Row],[ERL_PIN]]*$V227,)</f>
        <v>0</v>
      </c>
      <c r="AA227" s="1">
        <f>IFERROR(Table2[[#This Row],[NFI_PIN]]*$V227,)</f>
        <v>0</v>
      </c>
      <c r="AB227" s="1">
        <f>IFERROR(Table2[[#This Row],[Nutrition_PIN]]*$V227,)</f>
        <v>0</v>
      </c>
      <c r="AC227" s="1">
        <f>IFERROR(Table2[[#This Row],[Education_PIN]]*$V227,)</f>
        <v>0</v>
      </c>
      <c r="AD227" s="1">
        <f>IFERROR(Table2[[#This Row],[Shelter_PIN]]*$V227,)</f>
        <v>0</v>
      </c>
      <c r="AE227" s="1">
        <f>IFERROR(Table2[[#This Row],[WASH_PIN]]*$V227,)</f>
        <v>0</v>
      </c>
      <c r="AF227" s="1">
        <f>IFERROR(Table2[[#This Row],[WASH_acute_PIN]]*$V227,)</f>
        <v>0</v>
      </c>
      <c r="AG227" s="1">
        <f>IFERROR(Table2[[#This Row],[Protection_PIN]]*$V227,)</f>
        <v>0</v>
      </c>
      <c r="AH227" s="1">
        <f>IFERROR(Table2[[#This Row],[Food_PIN]]*$V227,)</f>
        <v>0</v>
      </c>
      <c r="AI227" s="1">
        <f>IFERROR(Table2[[#This Row],[Protection_CP_PIN]]*$V227,)</f>
        <v>0</v>
      </c>
      <c r="AJ227" s="1">
        <f>IFERROR(Table2[[#This Row],[Protection_GBV_PIN]]*$V227,)</f>
        <v>0</v>
      </c>
      <c r="AK227" s="1">
        <f>IFERROR(Table2[[#This Row],[Protection_MA_PIN]]*$V227,)</f>
        <v>0</v>
      </c>
      <c r="AL227" s="1">
        <f>IFERROR(Table2[[#This Row],[Health_PIN]]*$W227,)</f>
        <v>0</v>
      </c>
      <c r="AM227" s="1">
        <f>IFERROR(Table2[[#This Row],[CCCM_PIN]]*$W227,)</f>
        <v>0</v>
      </c>
      <c r="AN227" s="1">
        <f>IFERROR(Table2[[#This Row],[ERL_PIN]]*$W227,)</f>
        <v>0</v>
      </c>
      <c r="AO227" s="1">
        <f>IFERROR(Table2[[#This Row],[NFI_PIN]]*$W227,)</f>
        <v>0</v>
      </c>
      <c r="AP227" s="1">
        <f>IFERROR(Table2[[#This Row],[Nutrition_PIN]]*$W227,)</f>
        <v>0</v>
      </c>
      <c r="AQ227" s="1">
        <f>IFERROR(Table2[[#This Row],[Education_PIN]]*$W227,)</f>
        <v>0</v>
      </c>
      <c r="AR227" s="1">
        <f>IFERROR(Table2[[#This Row],[Shelter_PIN]]*$W227,)</f>
        <v>0</v>
      </c>
      <c r="AS227" s="1">
        <f>IFERROR(Table2[[#This Row],[WASH_PIN]]*$W227,)</f>
        <v>0</v>
      </c>
      <c r="AT227" s="1">
        <f>IFERROR(Table2[[#This Row],[WASH_acute_PIN]]*$W227,)</f>
        <v>0</v>
      </c>
      <c r="AU227" s="1">
        <f>IFERROR(Table2[[#This Row],[Protection_PIN]]*$W227,)</f>
        <v>0</v>
      </c>
      <c r="AV227" s="1">
        <f>IFERROR(Table2[[#This Row],[Food_PIN]]*$W227,)</f>
        <v>0</v>
      </c>
      <c r="AW227" s="1">
        <f>IFERROR(Table2[[#This Row],[Protection_CP_PIN]]*$W227,)</f>
        <v>0</v>
      </c>
      <c r="AX227" s="1">
        <f>IFERROR(Table2[[#This Row],[Protection_GBV_PIN]]*$W227,)</f>
        <v>0</v>
      </c>
      <c r="AY227" s="1">
        <f>IFERROR(Table2[[#This Row],[Protection_MA_PIN]]*$W227,)</f>
        <v>0</v>
      </c>
      <c r="AZ227" s="1">
        <v>2</v>
      </c>
      <c r="BA227" s="1">
        <v>4</v>
      </c>
      <c r="BB227" s="1">
        <v>3</v>
      </c>
      <c r="BC227" s="1">
        <v>2</v>
      </c>
      <c r="BD227" s="1">
        <v>2</v>
      </c>
      <c r="BE227" s="1">
        <v>4</v>
      </c>
      <c r="BF227" s="1">
        <v>4</v>
      </c>
      <c r="BG227" s="1">
        <v>4</v>
      </c>
      <c r="BH227" s="1">
        <v>3</v>
      </c>
      <c r="BI227" s="1">
        <v>4</v>
      </c>
      <c r="BJ227" s="1">
        <v>4</v>
      </c>
      <c r="BK227" s="1" t="s">
        <v>665</v>
      </c>
      <c r="BL227" s="1">
        <v>2</v>
      </c>
    </row>
    <row r="228" spans="1:64" x14ac:dyDescent="0.35">
      <c r="A228" t="s">
        <v>54</v>
      </c>
      <c r="B228" t="s">
        <v>709</v>
      </c>
      <c r="C228" t="s">
        <v>55</v>
      </c>
      <c r="D228" t="s">
        <v>407</v>
      </c>
      <c r="E228" t="s">
        <v>919</v>
      </c>
      <c r="F228" t="s">
        <v>408</v>
      </c>
      <c r="G228" t="s">
        <v>407</v>
      </c>
      <c r="H228" s="1">
        <v>66100.5</v>
      </c>
      <c r="I228" s="1" t="s">
        <v>665</v>
      </c>
      <c r="J228" s="1">
        <v>79732</v>
      </c>
      <c r="K228" s="1">
        <v>41770</v>
      </c>
      <c r="L228" s="1">
        <v>29459.829327945343</v>
      </c>
      <c r="M228" s="1">
        <v>44199.283333333333</v>
      </c>
      <c r="N228" s="1">
        <v>17627</v>
      </c>
      <c r="O228" s="1">
        <v>45580.397699659829</v>
      </c>
      <c r="P228" s="1">
        <v>5140</v>
      </c>
      <c r="Q228" s="1">
        <v>70507</v>
      </c>
      <c r="R228" s="1">
        <v>82013.583333333328</v>
      </c>
      <c r="S228" s="1">
        <v>21443.600000000006</v>
      </c>
      <c r="T228" s="1">
        <v>23177</v>
      </c>
      <c r="U228" s="1">
        <v>88134</v>
      </c>
      <c r="V228" s="3">
        <f>_xlfn.XLOOKUP(Table2[[#This Row],[admin3Pcode]],'Inter-sector dataset'!F:F,'Inter-sector dataset'!Q:Q)</f>
        <v>0</v>
      </c>
      <c r="W228" s="3">
        <f>_xlfn.XLOOKUP(Table2[[#This Row],[admin3Pcode]],'Inter-sector dataset'!F:F,'Inter-sector dataset'!R:R)</f>
        <v>0</v>
      </c>
      <c r="X228" s="1">
        <f>IFERROR(Table2[[#This Row],[Health_PIN]]*$V228,)</f>
        <v>0</v>
      </c>
      <c r="Y228" s="1">
        <f>IFERROR(Table2[[#This Row],[CCCM_PIN]]*$V228,)</f>
        <v>0</v>
      </c>
      <c r="Z228" s="1">
        <f>IFERROR(Table2[[#This Row],[ERL_PIN]]*$V228,)</f>
        <v>0</v>
      </c>
      <c r="AA228" s="1">
        <f>IFERROR(Table2[[#This Row],[NFI_PIN]]*$V228,)</f>
        <v>0</v>
      </c>
      <c r="AB228" s="1">
        <f>IFERROR(Table2[[#This Row],[Nutrition_PIN]]*$V228,)</f>
        <v>0</v>
      </c>
      <c r="AC228" s="1">
        <f>IFERROR(Table2[[#This Row],[Education_PIN]]*$V228,)</f>
        <v>0</v>
      </c>
      <c r="AD228" s="1">
        <f>IFERROR(Table2[[#This Row],[Shelter_PIN]]*$V228,)</f>
        <v>0</v>
      </c>
      <c r="AE228" s="1">
        <f>IFERROR(Table2[[#This Row],[WASH_PIN]]*$V228,)</f>
        <v>0</v>
      </c>
      <c r="AF228" s="1">
        <f>IFERROR(Table2[[#This Row],[WASH_acute_PIN]]*$V228,)</f>
        <v>0</v>
      </c>
      <c r="AG228" s="1">
        <f>IFERROR(Table2[[#This Row],[Protection_PIN]]*$V228,)</f>
        <v>0</v>
      </c>
      <c r="AH228" s="1">
        <f>IFERROR(Table2[[#This Row],[Food_PIN]]*$V228,)</f>
        <v>0</v>
      </c>
      <c r="AI228" s="1">
        <f>IFERROR(Table2[[#This Row],[Protection_CP_PIN]]*$V228,)</f>
        <v>0</v>
      </c>
      <c r="AJ228" s="1">
        <f>IFERROR(Table2[[#This Row],[Protection_GBV_PIN]]*$V228,)</f>
        <v>0</v>
      </c>
      <c r="AK228" s="1">
        <f>IFERROR(Table2[[#This Row],[Protection_MA_PIN]]*$V228,)</f>
        <v>0</v>
      </c>
      <c r="AL228" s="1">
        <f>IFERROR(Table2[[#This Row],[Health_PIN]]*$W228,)</f>
        <v>0</v>
      </c>
      <c r="AM228" s="1">
        <f>IFERROR(Table2[[#This Row],[CCCM_PIN]]*$W228,)</f>
        <v>0</v>
      </c>
      <c r="AN228" s="1">
        <f>IFERROR(Table2[[#This Row],[ERL_PIN]]*$W228,)</f>
        <v>0</v>
      </c>
      <c r="AO228" s="1">
        <f>IFERROR(Table2[[#This Row],[NFI_PIN]]*$W228,)</f>
        <v>0</v>
      </c>
      <c r="AP228" s="1">
        <f>IFERROR(Table2[[#This Row],[Nutrition_PIN]]*$W228,)</f>
        <v>0</v>
      </c>
      <c r="AQ228" s="1">
        <f>IFERROR(Table2[[#This Row],[Education_PIN]]*$W228,)</f>
        <v>0</v>
      </c>
      <c r="AR228" s="1">
        <f>IFERROR(Table2[[#This Row],[Shelter_PIN]]*$W228,)</f>
        <v>0</v>
      </c>
      <c r="AS228" s="1">
        <f>IFERROR(Table2[[#This Row],[WASH_PIN]]*$W228,)</f>
        <v>0</v>
      </c>
      <c r="AT228" s="1">
        <f>IFERROR(Table2[[#This Row],[WASH_acute_PIN]]*$W228,)</f>
        <v>0</v>
      </c>
      <c r="AU228" s="1">
        <f>IFERROR(Table2[[#This Row],[Protection_PIN]]*$W228,)</f>
        <v>0</v>
      </c>
      <c r="AV228" s="1">
        <f>IFERROR(Table2[[#This Row],[Food_PIN]]*$W228,)</f>
        <v>0</v>
      </c>
      <c r="AW228" s="1">
        <f>IFERROR(Table2[[#This Row],[Protection_CP_PIN]]*$W228,)</f>
        <v>0</v>
      </c>
      <c r="AX228" s="1">
        <f>IFERROR(Table2[[#This Row],[Protection_GBV_PIN]]*$W228,)</f>
        <v>0</v>
      </c>
      <c r="AY228" s="1">
        <f>IFERROR(Table2[[#This Row],[Protection_MA_PIN]]*$W228,)</f>
        <v>0</v>
      </c>
      <c r="AZ228" s="1">
        <v>2</v>
      </c>
      <c r="BA228" s="1">
        <v>4</v>
      </c>
      <c r="BB228" s="1">
        <v>4</v>
      </c>
      <c r="BC228" s="1">
        <v>4</v>
      </c>
      <c r="BD228" s="1">
        <v>3</v>
      </c>
      <c r="BE228" s="1">
        <v>4</v>
      </c>
      <c r="BF228" s="1">
        <v>4</v>
      </c>
      <c r="BG228" s="1">
        <v>3</v>
      </c>
      <c r="BH228" s="1">
        <v>3</v>
      </c>
      <c r="BI228" s="1">
        <v>4</v>
      </c>
      <c r="BJ228" s="1">
        <v>4</v>
      </c>
      <c r="BK228" s="1" t="s">
        <v>665</v>
      </c>
      <c r="BL228" s="1">
        <v>3</v>
      </c>
    </row>
    <row r="229" spans="1:64" x14ac:dyDescent="0.35">
      <c r="A229" t="s">
        <v>192</v>
      </c>
      <c r="B229" t="s">
        <v>711</v>
      </c>
      <c r="C229" t="s">
        <v>193</v>
      </c>
      <c r="D229" t="s">
        <v>490</v>
      </c>
      <c r="E229" t="s">
        <v>920</v>
      </c>
      <c r="F229" t="s">
        <v>491</v>
      </c>
      <c r="G229" t="s">
        <v>490</v>
      </c>
      <c r="H229" s="1">
        <v>66789.75</v>
      </c>
      <c r="I229" s="1">
        <v>16391</v>
      </c>
      <c r="J229" s="1">
        <v>59382</v>
      </c>
      <c r="K229" s="1">
        <v>21633</v>
      </c>
      <c r="L229" s="1">
        <v>29766.141864323414</v>
      </c>
      <c r="M229" s="1">
        <v>31774.483333333334</v>
      </c>
      <c r="N229" s="1">
        <v>21633</v>
      </c>
      <c r="O229" s="1">
        <v>68594.568615474724</v>
      </c>
      <c r="P229" s="1">
        <v>18888</v>
      </c>
      <c r="Q229" s="1">
        <v>71242</v>
      </c>
      <c r="R229" s="1">
        <v>50112.206349206346</v>
      </c>
      <c r="S229" s="1">
        <v>30864.6</v>
      </c>
      <c r="T229" s="1">
        <v>39642</v>
      </c>
      <c r="U229" s="1">
        <v>50575</v>
      </c>
      <c r="V229" s="3">
        <f>_xlfn.XLOOKUP(Table2[[#This Row],[admin3Pcode]],'Inter-sector dataset'!F:F,'Inter-sector dataset'!Q:Q)</f>
        <v>1</v>
      </c>
      <c r="W229" s="3">
        <f>_xlfn.XLOOKUP(Table2[[#This Row],[admin3Pcode]],'Inter-sector dataset'!F:F,'Inter-sector dataset'!R:R)</f>
        <v>0</v>
      </c>
      <c r="X229" s="1">
        <f>IFERROR(Table2[[#This Row],[Health_PIN]]*$V229,)</f>
        <v>66789.75</v>
      </c>
      <c r="Y229" s="1">
        <f>IFERROR(Table2[[#This Row],[CCCM_PIN]]*$V229,)</f>
        <v>16391</v>
      </c>
      <c r="Z229" s="1">
        <f>IFERROR(Table2[[#This Row],[ERL_PIN]]*$V229,)</f>
        <v>59382</v>
      </c>
      <c r="AA229" s="1">
        <f>IFERROR(Table2[[#This Row],[NFI_PIN]]*$V229,)</f>
        <v>21633</v>
      </c>
      <c r="AB229" s="1">
        <f>IFERROR(Table2[[#This Row],[Nutrition_PIN]]*$V229,)</f>
        <v>29766.141864323414</v>
      </c>
      <c r="AC229" s="1">
        <f>IFERROR(Table2[[#This Row],[Education_PIN]]*$V229,)</f>
        <v>31774.483333333334</v>
      </c>
      <c r="AD229" s="1">
        <f>IFERROR(Table2[[#This Row],[Shelter_PIN]]*$V229,)</f>
        <v>21633</v>
      </c>
      <c r="AE229" s="1">
        <f>IFERROR(Table2[[#This Row],[WASH_PIN]]*$V229,)</f>
        <v>68594.568615474724</v>
      </c>
      <c r="AF229" s="1">
        <f>IFERROR(Table2[[#This Row],[WASH_acute_PIN]]*$V229,)</f>
        <v>18888</v>
      </c>
      <c r="AG229" s="1">
        <f>IFERROR(Table2[[#This Row],[Protection_PIN]]*$V229,)</f>
        <v>71242</v>
      </c>
      <c r="AH229" s="1">
        <f>IFERROR(Table2[[#This Row],[Food_PIN]]*$V229,)</f>
        <v>50112.206349206346</v>
      </c>
      <c r="AI229" s="1">
        <f>IFERROR(Table2[[#This Row],[Protection_CP_PIN]]*$V229,)</f>
        <v>30864.6</v>
      </c>
      <c r="AJ229" s="1">
        <f>IFERROR(Table2[[#This Row],[Protection_GBV_PIN]]*$V229,)</f>
        <v>39642</v>
      </c>
      <c r="AK229" s="1">
        <f>IFERROR(Table2[[#This Row],[Protection_MA_PIN]]*$V229,)</f>
        <v>50575</v>
      </c>
      <c r="AL229" s="1">
        <f>IFERROR(Table2[[#This Row],[Health_PIN]]*$W229,)</f>
        <v>0</v>
      </c>
      <c r="AM229" s="1">
        <f>IFERROR(Table2[[#This Row],[CCCM_PIN]]*$W229,)</f>
        <v>0</v>
      </c>
      <c r="AN229" s="1">
        <f>IFERROR(Table2[[#This Row],[ERL_PIN]]*$W229,)</f>
        <v>0</v>
      </c>
      <c r="AO229" s="1">
        <f>IFERROR(Table2[[#This Row],[NFI_PIN]]*$W229,)</f>
        <v>0</v>
      </c>
      <c r="AP229" s="1">
        <f>IFERROR(Table2[[#This Row],[Nutrition_PIN]]*$W229,)</f>
        <v>0</v>
      </c>
      <c r="AQ229" s="1">
        <f>IFERROR(Table2[[#This Row],[Education_PIN]]*$W229,)</f>
        <v>0</v>
      </c>
      <c r="AR229" s="1">
        <f>IFERROR(Table2[[#This Row],[Shelter_PIN]]*$W229,)</f>
        <v>0</v>
      </c>
      <c r="AS229" s="1">
        <f>IFERROR(Table2[[#This Row],[WASH_PIN]]*$W229,)</f>
        <v>0</v>
      </c>
      <c r="AT229" s="1">
        <f>IFERROR(Table2[[#This Row],[WASH_acute_PIN]]*$W229,)</f>
        <v>0</v>
      </c>
      <c r="AU229" s="1">
        <f>IFERROR(Table2[[#This Row],[Protection_PIN]]*$W229,)</f>
        <v>0</v>
      </c>
      <c r="AV229" s="1">
        <f>IFERROR(Table2[[#This Row],[Food_PIN]]*$W229,)</f>
        <v>0</v>
      </c>
      <c r="AW229" s="1">
        <f>IFERROR(Table2[[#This Row],[Protection_CP_PIN]]*$W229,)</f>
        <v>0</v>
      </c>
      <c r="AX229" s="1">
        <f>IFERROR(Table2[[#This Row],[Protection_GBV_PIN]]*$W229,)</f>
        <v>0</v>
      </c>
      <c r="AY229" s="1">
        <f>IFERROR(Table2[[#This Row],[Protection_MA_PIN]]*$W229,)</f>
        <v>0</v>
      </c>
      <c r="AZ229" s="1">
        <v>3</v>
      </c>
      <c r="BA229" s="1">
        <v>3</v>
      </c>
      <c r="BB229" s="1">
        <v>5</v>
      </c>
      <c r="BC229" s="1">
        <v>3</v>
      </c>
      <c r="BD229" s="1">
        <v>3</v>
      </c>
      <c r="BE229" s="1">
        <v>4</v>
      </c>
      <c r="BF229" s="1">
        <v>4</v>
      </c>
      <c r="BG229" s="1">
        <v>4</v>
      </c>
      <c r="BH229" s="1">
        <v>4</v>
      </c>
      <c r="BI229" s="1">
        <v>4</v>
      </c>
      <c r="BJ229" s="1">
        <v>3</v>
      </c>
      <c r="BK229" s="1">
        <v>3</v>
      </c>
      <c r="BL229" s="1">
        <v>3</v>
      </c>
    </row>
    <row r="230" spans="1:64" x14ac:dyDescent="0.35">
      <c r="A230" t="s">
        <v>54</v>
      </c>
      <c r="B230" t="s">
        <v>709</v>
      </c>
      <c r="C230" t="s">
        <v>55</v>
      </c>
      <c r="D230" t="s">
        <v>436</v>
      </c>
      <c r="E230" t="s">
        <v>773</v>
      </c>
      <c r="F230" t="s">
        <v>478</v>
      </c>
      <c r="G230" t="s">
        <v>921</v>
      </c>
      <c r="H230" s="1">
        <v>72995.25</v>
      </c>
      <c r="I230" s="1">
        <v>22634</v>
      </c>
      <c r="J230" s="1">
        <v>30745</v>
      </c>
      <c r="K230" s="1">
        <v>29119</v>
      </c>
      <c r="L230" s="1">
        <v>33601.820387906264</v>
      </c>
      <c r="M230" s="1">
        <v>45083.816666666666</v>
      </c>
      <c r="N230" s="1">
        <v>29119</v>
      </c>
      <c r="O230" s="1">
        <v>93579.135369092139</v>
      </c>
      <c r="P230" s="1">
        <v>45479</v>
      </c>
      <c r="Q230" s="1">
        <v>77862</v>
      </c>
      <c r="R230" s="1">
        <v>53059.352941176476</v>
      </c>
      <c r="S230" s="1">
        <v>51701.4</v>
      </c>
      <c r="T230" s="1">
        <v>42372</v>
      </c>
      <c r="U230" s="1">
        <v>75693</v>
      </c>
      <c r="V230" s="3">
        <f>_xlfn.XLOOKUP(Table2[[#This Row],[admin3Pcode]],'Inter-sector dataset'!F:F,'Inter-sector dataset'!Q:Q)</f>
        <v>1</v>
      </c>
      <c r="W230" s="3">
        <f>_xlfn.XLOOKUP(Table2[[#This Row],[admin3Pcode]],'Inter-sector dataset'!F:F,'Inter-sector dataset'!R:R)</f>
        <v>0</v>
      </c>
      <c r="X230" s="1">
        <f>IFERROR(Table2[[#This Row],[Health_PIN]]*$V230,)</f>
        <v>72995.25</v>
      </c>
      <c r="Y230" s="1">
        <f>IFERROR(Table2[[#This Row],[CCCM_PIN]]*$V230,)</f>
        <v>22634</v>
      </c>
      <c r="Z230" s="1">
        <f>IFERROR(Table2[[#This Row],[ERL_PIN]]*$V230,)</f>
        <v>30745</v>
      </c>
      <c r="AA230" s="1">
        <f>IFERROR(Table2[[#This Row],[NFI_PIN]]*$V230,)</f>
        <v>29119</v>
      </c>
      <c r="AB230" s="1">
        <f>IFERROR(Table2[[#This Row],[Nutrition_PIN]]*$V230,)</f>
        <v>33601.820387906264</v>
      </c>
      <c r="AC230" s="1">
        <f>IFERROR(Table2[[#This Row],[Education_PIN]]*$V230,)</f>
        <v>45083.816666666666</v>
      </c>
      <c r="AD230" s="1">
        <f>IFERROR(Table2[[#This Row],[Shelter_PIN]]*$V230,)</f>
        <v>29119</v>
      </c>
      <c r="AE230" s="1">
        <f>IFERROR(Table2[[#This Row],[WASH_PIN]]*$V230,)</f>
        <v>93579.135369092139</v>
      </c>
      <c r="AF230" s="1">
        <f>IFERROR(Table2[[#This Row],[WASH_acute_PIN]]*$V230,)</f>
        <v>45479</v>
      </c>
      <c r="AG230" s="1">
        <f>IFERROR(Table2[[#This Row],[Protection_PIN]]*$V230,)</f>
        <v>77862</v>
      </c>
      <c r="AH230" s="1">
        <f>IFERROR(Table2[[#This Row],[Food_PIN]]*$V230,)</f>
        <v>53059.352941176476</v>
      </c>
      <c r="AI230" s="1">
        <f>IFERROR(Table2[[#This Row],[Protection_CP_PIN]]*$V230,)</f>
        <v>51701.4</v>
      </c>
      <c r="AJ230" s="1">
        <f>IFERROR(Table2[[#This Row],[Protection_GBV_PIN]]*$V230,)</f>
        <v>42372</v>
      </c>
      <c r="AK230" s="1">
        <f>IFERROR(Table2[[#This Row],[Protection_MA_PIN]]*$V230,)</f>
        <v>75693</v>
      </c>
      <c r="AL230" s="1">
        <f>IFERROR(Table2[[#This Row],[Health_PIN]]*$W230,)</f>
        <v>0</v>
      </c>
      <c r="AM230" s="1">
        <f>IFERROR(Table2[[#This Row],[CCCM_PIN]]*$W230,)</f>
        <v>0</v>
      </c>
      <c r="AN230" s="1">
        <f>IFERROR(Table2[[#This Row],[ERL_PIN]]*$W230,)</f>
        <v>0</v>
      </c>
      <c r="AO230" s="1">
        <f>IFERROR(Table2[[#This Row],[NFI_PIN]]*$W230,)</f>
        <v>0</v>
      </c>
      <c r="AP230" s="1">
        <f>IFERROR(Table2[[#This Row],[Nutrition_PIN]]*$W230,)</f>
        <v>0</v>
      </c>
      <c r="AQ230" s="1">
        <f>IFERROR(Table2[[#This Row],[Education_PIN]]*$W230,)</f>
        <v>0</v>
      </c>
      <c r="AR230" s="1">
        <f>IFERROR(Table2[[#This Row],[Shelter_PIN]]*$W230,)</f>
        <v>0</v>
      </c>
      <c r="AS230" s="1">
        <f>IFERROR(Table2[[#This Row],[WASH_PIN]]*$W230,)</f>
        <v>0</v>
      </c>
      <c r="AT230" s="1">
        <f>IFERROR(Table2[[#This Row],[WASH_acute_PIN]]*$W230,)</f>
        <v>0</v>
      </c>
      <c r="AU230" s="1">
        <f>IFERROR(Table2[[#This Row],[Protection_PIN]]*$W230,)</f>
        <v>0</v>
      </c>
      <c r="AV230" s="1">
        <f>IFERROR(Table2[[#This Row],[Food_PIN]]*$W230,)</f>
        <v>0</v>
      </c>
      <c r="AW230" s="1">
        <f>IFERROR(Table2[[#This Row],[Protection_CP_PIN]]*$W230,)</f>
        <v>0</v>
      </c>
      <c r="AX230" s="1">
        <f>IFERROR(Table2[[#This Row],[Protection_GBV_PIN]]*$W230,)</f>
        <v>0</v>
      </c>
      <c r="AY230" s="1">
        <f>IFERROR(Table2[[#This Row],[Protection_MA_PIN]]*$W230,)</f>
        <v>0</v>
      </c>
      <c r="AZ230" s="1">
        <v>3</v>
      </c>
      <c r="BA230" s="1">
        <v>3</v>
      </c>
      <c r="BB230" s="1">
        <v>4</v>
      </c>
      <c r="BC230" s="1">
        <v>3</v>
      </c>
      <c r="BD230" s="1">
        <v>2</v>
      </c>
      <c r="BE230" s="1">
        <v>4</v>
      </c>
      <c r="BF230" s="1">
        <v>4</v>
      </c>
      <c r="BG230" s="1">
        <v>5</v>
      </c>
      <c r="BH230" s="1">
        <v>4</v>
      </c>
      <c r="BI230" s="1">
        <v>4</v>
      </c>
      <c r="BJ230" s="1">
        <v>4</v>
      </c>
      <c r="BK230" s="1">
        <v>3</v>
      </c>
      <c r="BL230" s="1">
        <v>4</v>
      </c>
    </row>
    <row r="231" spans="1:64" x14ac:dyDescent="0.35">
      <c r="A231" t="s">
        <v>54</v>
      </c>
      <c r="B231" t="s">
        <v>709</v>
      </c>
      <c r="C231" t="s">
        <v>55</v>
      </c>
      <c r="D231" t="s">
        <v>411</v>
      </c>
      <c r="E231" t="s">
        <v>922</v>
      </c>
      <c r="F231" t="s">
        <v>412</v>
      </c>
      <c r="G231" t="s">
        <v>411</v>
      </c>
      <c r="H231" s="1">
        <v>76204.5</v>
      </c>
      <c r="I231" s="1">
        <v>14782</v>
      </c>
      <c r="J231" s="1">
        <v>58255</v>
      </c>
      <c r="K231" s="1">
        <v>27311</v>
      </c>
      <c r="L231" s="1">
        <v>33204.834186488937</v>
      </c>
      <c r="M231" s="1">
        <v>44531.5</v>
      </c>
      <c r="N231" s="1">
        <v>30470</v>
      </c>
      <c r="O231" s="1">
        <v>100746.22379104575</v>
      </c>
      <c r="P231" s="1">
        <v>64438</v>
      </c>
      <c r="Q231" s="1">
        <v>81285</v>
      </c>
      <c r="R231" s="1">
        <v>48541.919642857145</v>
      </c>
      <c r="S231" s="1">
        <v>40860</v>
      </c>
      <c r="T231" s="1">
        <v>42303</v>
      </c>
      <c r="U231" s="1">
        <v>101606</v>
      </c>
      <c r="V231" s="3">
        <f>_xlfn.XLOOKUP(Table2[[#This Row],[admin3Pcode]],'Inter-sector dataset'!F:F,'Inter-sector dataset'!Q:Q)</f>
        <v>0.94</v>
      </c>
      <c r="W231" s="3">
        <f>_xlfn.XLOOKUP(Table2[[#This Row],[admin3Pcode]],'Inter-sector dataset'!F:F,'Inter-sector dataset'!R:R)</f>
        <v>0</v>
      </c>
      <c r="X231" s="1">
        <f>IFERROR(Table2[[#This Row],[Health_PIN]]*$V231,)</f>
        <v>71632.23</v>
      </c>
      <c r="Y231" s="1">
        <f>IFERROR(Table2[[#This Row],[CCCM_PIN]]*$V231,)</f>
        <v>13895.08</v>
      </c>
      <c r="Z231" s="1">
        <f>IFERROR(Table2[[#This Row],[ERL_PIN]]*$V231,)</f>
        <v>54759.7</v>
      </c>
      <c r="AA231" s="1">
        <f>IFERROR(Table2[[#This Row],[NFI_PIN]]*$V231,)</f>
        <v>25672.34</v>
      </c>
      <c r="AB231" s="1">
        <f>IFERROR(Table2[[#This Row],[Nutrition_PIN]]*$V231,)</f>
        <v>31212.544135299599</v>
      </c>
      <c r="AC231" s="1">
        <f>IFERROR(Table2[[#This Row],[Education_PIN]]*$V231,)</f>
        <v>41859.61</v>
      </c>
      <c r="AD231" s="1">
        <f>IFERROR(Table2[[#This Row],[Shelter_PIN]]*$V231,)</f>
        <v>28641.8</v>
      </c>
      <c r="AE231" s="1">
        <f>IFERROR(Table2[[#This Row],[WASH_PIN]]*$V231,)</f>
        <v>94701.450363583004</v>
      </c>
      <c r="AF231" s="1">
        <f>IFERROR(Table2[[#This Row],[WASH_acute_PIN]]*$V231,)</f>
        <v>60571.719999999994</v>
      </c>
      <c r="AG231" s="1">
        <f>IFERROR(Table2[[#This Row],[Protection_PIN]]*$V231,)</f>
        <v>76407.899999999994</v>
      </c>
      <c r="AH231" s="1">
        <f>IFERROR(Table2[[#This Row],[Food_PIN]]*$V231,)</f>
        <v>45629.404464285712</v>
      </c>
      <c r="AI231" s="1">
        <f>IFERROR(Table2[[#This Row],[Protection_CP_PIN]]*$V231,)</f>
        <v>38408.400000000001</v>
      </c>
      <c r="AJ231" s="1">
        <f>IFERROR(Table2[[#This Row],[Protection_GBV_PIN]]*$V231,)</f>
        <v>39764.82</v>
      </c>
      <c r="AK231" s="1">
        <f>IFERROR(Table2[[#This Row],[Protection_MA_PIN]]*$V231,)</f>
        <v>95509.64</v>
      </c>
      <c r="AL231" s="1">
        <f>IFERROR(Table2[[#This Row],[Health_PIN]]*$W231,)</f>
        <v>0</v>
      </c>
      <c r="AM231" s="1">
        <f>IFERROR(Table2[[#This Row],[CCCM_PIN]]*$W231,)</f>
        <v>0</v>
      </c>
      <c r="AN231" s="1">
        <f>IFERROR(Table2[[#This Row],[ERL_PIN]]*$W231,)</f>
        <v>0</v>
      </c>
      <c r="AO231" s="1">
        <f>IFERROR(Table2[[#This Row],[NFI_PIN]]*$W231,)</f>
        <v>0</v>
      </c>
      <c r="AP231" s="1">
        <f>IFERROR(Table2[[#This Row],[Nutrition_PIN]]*$W231,)</f>
        <v>0</v>
      </c>
      <c r="AQ231" s="1">
        <f>IFERROR(Table2[[#This Row],[Education_PIN]]*$W231,)</f>
        <v>0</v>
      </c>
      <c r="AR231" s="1">
        <f>IFERROR(Table2[[#This Row],[Shelter_PIN]]*$W231,)</f>
        <v>0</v>
      </c>
      <c r="AS231" s="1">
        <f>IFERROR(Table2[[#This Row],[WASH_PIN]]*$W231,)</f>
        <v>0</v>
      </c>
      <c r="AT231" s="1">
        <f>IFERROR(Table2[[#This Row],[WASH_acute_PIN]]*$W231,)</f>
        <v>0</v>
      </c>
      <c r="AU231" s="1">
        <f>IFERROR(Table2[[#This Row],[Protection_PIN]]*$W231,)</f>
        <v>0</v>
      </c>
      <c r="AV231" s="1">
        <f>IFERROR(Table2[[#This Row],[Food_PIN]]*$W231,)</f>
        <v>0</v>
      </c>
      <c r="AW231" s="1">
        <f>IFERROR(Table2[[#This Row],[Protection_CP_PIN]]*$W231,)</f>
        <v>0</v>
      </c>
      <c r="AX231" s="1">
        <f>IFERROR(Table2[[#This Row],[Protection_GBV_PIN]]*$W231,)</f>
        <v>0</v>
      </c>
      <c r="AY231" s="1">
        <f>IFERROR(Table2[[#This Row],[Protection_MA_PIN]]*$W231,)</f>
        <v>0</v>
      </c>
      <c r="AZ231" s="1">
        <v>3</v>
      </c>
      <c r="BA231" s="1">
        <v>4</v>
      </c>
      <c r="BB231" s="1">
        <v>5</v>
      </c>
      <c r="BC231" s="1">
        <v>5</v>
      </c>
      <c r="BD231" s="1">
        <v>3</v>
      </c>
      <c r="BE231" s="1">
        <v>4</v>
      </c>
      <c r="BF231" s="1">
        <v>4</v>
      </c>
      <c r="BG231" s="1">
        <v>4</v>
      </c>
      <c r="BH231" s="1">
        <v>4</v>
      </c>
      <c r="BI231" s="1">
        <v>4</v>
      </c>
      <c r="BJ231" s="1">
        <v>4</v>
      </c>
      <c r="BK231" s="1">
        <v>3</v>
      </c>
      <c r="BL231" s="1">
        <v>4</v>
      </c>
    </row>
    <row r="232" spans="1:64" x14ac:dyDescent="0.35">
      <c r="A232" t="s">
        <v>192</v>
      </c>
      <c r="B232" t="s">
        <v>711</v>
      </c>
      <c r="C232" t="s">
        <v>193</v>
      </c>
      <c r="D232" t="s">
        <v>303</v>
      </c>
      <c r="E232" t="s">
        <v>923</v>
      </c>
      <c r="F232" t="s">
        <v>304</v>
      </c>
      <c r="G232" t="s">
        <v>303</v>
      </c>
      <c r="H232" s="1">
        <v>103436</v>
      </c>
      <c r="I232" s="1">
        <v>34442</v>
      </c>
      <c r="J232" s="1">
        <v>86633</v>
      </c>
      <c r="K232" s="1">
        <v>51844</v>
      </c>
      <c r="L232" s="1">
        <v>29715.997683990325</v>
      </c>
      <c r="M232" s="1">
        <v>46099.066666666666</v>
      </c>
      <c r="N232" s="1">
        <v>29972</v>
      </c>
      <c r="O232" s="1">
        <v>99198.909953573981</v>
      </c>
      <c r="P232" s="1">
        <v>70884</v>
      </c>
      <c r="Q232" s="1">
        <v>82749</v>
      </c>
      <c r="R232" s="1">
        <v>59200.84210526316</v>
      </c>
      <c r="S232" s="1">
        <v>42325.8</v>
      </c>
      <c r="T232" s="1">
        <v>44027</v>
      </c>
      <c r="U232" s="1">
        <v>35082</v>
      </c>
      <c r="V232" s="3">
        <f>_xlfn.XLOOKUP(Table2[[#This Row],[admin3Pcode]],'Inter-sector dataset'!F:F,'Inter-sector dataset'!Q:Q)</f>
        <v>1</v>
      </c>
      <c r="W232" s="3">
        <f>_xlfn.XLOOKUP(Table2[[#This Row],[admin3Pcode]],'Inter-sector dataset'!F:F,'Inter-sector dataset'!R:R)</f>
        <v>0</v>
      </c>
      <c r="X232" s="1">
        <f>IFERROR(Table2[[#This Row],[Health_PIN]]*$V232,)</f>
        <v>103436</v>
      </c>
      <c r="Y232" s="1">
        <f>IFERROR(Table2[[#This Row],[CCCM_PIN]]*$V232,)</f>
        <v>34442</v>
      </c>
      <c r="Z232" s="1">
        <f>IFERROR(Table2[[#This Row],[ERL_PIN]]*$V232,)</f>
        <v>86633</v>
      </c>
      <c r="AA232" s="1">
        <f>IFERROR(Table2[[#This Row],[NFI_PIN]]*$V232,)</f>
        <v>51844</v>
      </c>
      <c r="AB232" s="1">
        <f>IFERROR(Table2[[#This Row],[Nutrition_PIN]]*$V232,)</f>
        <v>29715.997683990325</v>
      </c>
      <c r="AC232" s="1">
        <f>IFERROR(Table2[[#This Row],[Education_PIN]]*$V232,)</f>
        <v>46099.066666666666</v>
      </c>
      <c r="AD232" s="1">
        <f>IFERROR(Table2[[#This Row],[Shelter_PIN]]*$V232,)</f>
        <v>29972</v>
      </c>
      <c r="AE232" s="1">
        <f>IFERROR(Table2[[#This Row],[WASH_PIN]]*$V232,)</f>
        <v>99198.909953573981</v>
      </c>
      <c r="AF232" s="1">
        <f>IFERROR(Table2[[#This Row],[WASH_acute_PIN]]*$V232,)</f>
        <v>70884</v>
      </c>
      <c r="AG232" s="1">
        <f>IFERROR(Table2[[#This Row],[Protection_PIN]]*$V232,)</f>
        <v>82749</v>
      </c>
      <c r="AH232" s="1">
        <f>IFERROR(Table2[[#This Row],[Food_PIN]]*$V232,)</f>
        <v>59200.84210526316</v>
      </c>
      <c r="AI232" s="1">
        <f>IFERROR(Table2[[#This Row],[Protection_CP_PIN]]*$V232,)</f>
        <v>42325.8</v>
      </c>
      <c r="AJ232" s="1">
        <f>IFERROR(Table2[[#This Row],[Protection_GBV_PIN]]*$V232,)</f>
        <v>44027</v>
      </c>
      <c r="AK232" s="1">
        <f>IFERROR(Table2[[#This Row],[Protection_MA_PIN]]*$V232,)</f>
        <v>35082</v>
      </c>
      <c r="AL232" s="1">
        <f>IFERROR(Table2[[#This Row],[Health_PIN]]*$W232,)</f>
        <v>0</v>
      </c>
      <c r="AM232" s="1">
        <f>IFERROR(Table2[[#This Row],[CCCM_PIN]]*$W232,)</f>
        <v>0</v>
      </c>
      <c r="AN232" s="1">
        <f>IFERROR(Table2[[#This Row],[ERL_PIN]]*$W232,)</f>
        <v>0</v>
      </c>
      <c r="AO232" s="1">
        <f>IFERROR(Table2[[#This Row],[NFI_PIN]]*$W232,)</f>
        <v>0</v>
      </c>
      <c r="AP232" s="1">
        <f>IFERROR(Table2[[#This Row],[Nutrition_PIN]]*$W232,)</f>
        <v>0</v>
      </c>
      <c r="AQ232" s="1">
        <f>IFERROR(Table2[[#This Row],[Education_PIN]]*$W232,)</f>
        <v>0</v>
      </c>
      <c r="AR232" s="1">
        <f>IFERROR(Table2[[#This Row],[Shelter_PIN]]*$W232,)</f>
        <v>0</v>
      </c>
      <c r="AS232" s="1">
        <f>IFERROR(Table2[[#This Row],[WASH_PIN]]*$W232,)</f>
        <v>0</v>
      </c>
      <c r="AT232" s="1">
        <f>IFERROR(Table2[[#This Row],[WASH_acute_PIN]]*$W232,)</f>
        <v>0</v>
      </c>
      <c r="AU232" s="1">
        <f>IFERROR(Table2[[#This Row],[Protection_PIN]]*$W232,)</f>
        <v>0</v>
      </c>
      <c r="AV232" s="1">
        <f>IFERROR(Table2[[#This Row],[Food_PIN]]*$W232,)</f>
        <v>0</v>
      </c>
      <c r="AW232" s="1">
        <f>IFERROR(Table2[[#This Row],[Protection_CP_PIN]]*$W232,)</f>
        <v>0</v>
      </c>
      <c r="AX232" s="1">
        <f>IFERROR(Table2[[#This Row],[Protection_GBV_PIN]]*$W232,)</f>
        <v>0</v>
      </c>
      <c r="AY232" s="1">
        <f>IFERROR(Table2[[#This Row],[Protection_MA_PIN]]*$W232,)</f>
        <v>0</v>
      </c>
      <c r="AZ232" s="1">
        <v>3</v>
      </c>
      <c r="BA232" s="1">
        <v>3</v>
      </c>
      <c r="BB232" s="1">
        <v>4</v>
      </c>
      <c r="BC232" s="1">
        <v>4</v>
      </c>
      <c r="BD232" s="1">
        <v>3</v>
      </c>
      <c r="BE232" s="1">
        <v>5</v>
      </c>
      <c r="BF232" s="1">
        <v>4</v>
      </c>
      <c r="BG232" s="1">
        <v>4</v>
      </c>
      <c r="BH232" s="1">
        <v>4</v>
      </c>
      <c r="BI232" s="1">
        <v>4</v>
      </c>
      <c r="BJ232" s="1">
        <v>3</v>
      </c>
      <c r="BK232" s="1">
        <v>3</v>
      </c>
      <c r="BL232" s="1">
        <v>4</v>
      </c>
    </row>
    <row r="233" spans="1:64" x14ac:dyDescent="0.35">
      <c r="A233" t="s">
        <v>54</v>
      </c>
      <c r="B233" t="s">
        <v>709</v>
      </c>
      <c r="C233" t="s">
        <v>55</v>
      </c>
      <c r="D233" t="s">
        <v>386</v>
      </c>
      <c r="E233" t="s">
        <v>924</v>
      </c>
      <c r="F233" t="s">
        <v>387</v>
      </c>
      <c r="G233" t="s">
        <v>386</v>
      </c>
      <c r="H233" s="1">
        <v>77823</v>
      </c>
      <c r="I233" s="1">
        <v>18322</v>
      </c>
      <c r="J233" s="1">
        <v>35736</v>
      </c>
      <c r="K233" s="1">
        <v>30020</v>
      </c>
      <c r="L233" s="1">
        <v>33009.395988979697</v>
      </c>
      <c r="M233" s="1">
        <v>39523.966666666667</v>
      </c>
      <c r="N233" s="1">
        <v>31048</v>
      </c>
      <c r="O233" s="1">
        <v>103764.00000000003</v>
      </c>
      <c r="P233" s="1">
        <v>69084</v>
      </c>
      <c r="Q233" s="1">
        <v>83011</v>
      </c>
      <c r="R233" s="1">
        <v>36479.254237288136</v>
      </c>
      <c r="S233" s="1">
        <v>36905.200000000004</v>
      </c>
      <c r="T233" s="1">
        <v>43660</v>
      </c>
      <c r="U233" s="1">
        <v>102926</v>
      </c>
      <c r="V233" s="3">
        <f>_xlfn.XLOOKUP(Table2[[#This Row],[admin3Pcode]],'Inter-sector dataset'!F:F,'Inter-sector dataset'!Q:Q)</f>
        <v>1</v>
      </c>
      <c r="W233" s="3">
        <f>_xlfn.XLOOKUP(Table2[[#This Row],[admin3Pcode]],'Inter-sector dataset'!F:F,'Inter-sector dataset'!R:R)</f>
        <v>0</v>
      </c>
      <c r="X233" s="1">
        <f>IFERROR(Table2[[#This Row],[Health_PIN]]*$V233,)</f>
        <v>77823</v>
      </c>
      <c r="Y233" s="1">
        <f>IFERROR(Table2[[#This Row],[CCCM_PIN]]*$V233,)</f>
        <v>18322</v>
      </c>
      <c r="Z233" s="1">
        <f>IFERROR(Table2[[#This Row],[ERL_PIN]]*$V233,)</f>
        <v>35736</v>
      </c>
      <c r="AA233" s="1">
        <f>IFERROR(Table2[[#This Row],[NFI_PIN]]*$V233,)</f>
        <v>30020</v>
      </c>
      <c r="AB233" s="1">
        <f>IFERROR(Table2[[#This Row],[Nutrition_PIN]]*$V233,)</f>
        <v>33009.395988979697</v>
      </c>
      <c r="AC233" s="1">
        <f>IFERROR(Table2[[#This Row],[Education_PIN]]*$V233,)</f>
        <v>39523.966666666667</v>
      </c>
      <c r="AD233" s="1">
        <f>IFERROR(Table2[[#This Row],[Shelter_PIN]]*$V233,)</f>
        <v>31048</v>
      </c>
      <c r="AE233" s="1">
        <f>IFERROR(Table2[[#This Row],[WASH_PIN]]*$V233,)</f>
        <v>103764.00000000003</v>
      </c>
      <c r="AF233" s="1">
        <f>IFERROR(Table2[[#This Row],[WASH_acute_PIN]]*$V233,)</f>
        <v>69084</v>
      </c>
      <c r="AG233" s="1">
        <f>IFERROR(Table2[[#This Row],[Protection_PIN]]*$V233,)</f>
        <v>83011</v>
      </c>
      <c r="AH233" s="1">
        <f>IFERROR(Table2[[#This Row],[Food_PIN]]*$V233,)</f>
        <v>36479.254237288136</v>
      </c>
      <c r="AI233" s="1">
        <f>IFERROR(Table2[[#This Row],[Protection_CP_PIN]]*$V233,)</f>
        <v>36905.200000000004</v>
      </c>
      <c r="AJ233" s="1">
        <f>IFERROR(Table2[[#This Row],[Protection_GBV_PIN]]*$V233,)</f>
        <v>43660</v>
      </c>
      <c r="AK233" s="1">
        <f>IFERROR(Table2[[#This Row],[Protection_MA_PIN]]*$V233,)</f>
        <v>102926</v>
      </c>
      <c r="AL233" s="1">
        <f>IFERROR(Table2[[#This Row],[Health_PIN]]*$W233,)</f>
        <v>0</v>
      </c>
      <c r="AM233" s="1">
        <f>IFERROR(Table2[[#This Row],[CCCM_PIN]]*$W233,)</f>
        <v>0</v>
      </c>
      <c r="AN233" s="1">
        <f>IFERROR(Table2[[#This Row],[ERL_PIN]]*$W233,)</f>
        <v>0</v>
      </c>
      <c r="AO233" s="1">
        <f>IFERROR(Table2[[#This Row],[NFI_PIN]]*$W233,)</f>
        <v>0</v>
      </c>
      <c r="AP233" s="1">
        <f>IFERROR(Table2[[#This Row],[Nutrition_PIN]]*$W233,)</f>
        <v>0</v>
      </c>
      <c r="AQ233" s="1">
        <f>IFERROR(Table2[[#This Row],[Education_PIN]]*$W233,)</f>
        <v>0</v>
      </c>
      <c r="AR233" s="1">
        <f>IFERROR(Table2[[#This Row],[Shelter_PIN]]*$W233,)</f>
        <v>0</v>
      </c>
      <c r="AS233" s="1">
        <f>IFERROR(Table2[[#This Row],[WASH_PIN]]*$W233,)</f>
        <v>0</v>
      </c>
      <c r="AT233" s="1">
        <f>IFERROR(Table2[[#This Row],[WASH_acute_PIN]]*$W233,)</f>
        <v>0</v>
      </c>
      <c r="AU233" s="1">
        <f>IFERROR(Table2[[#This Row],[Protection_PIN]]*$W233,)</f>
        <v>0</v>
      </c>
      <c r="AV233" s="1">
        <f>IFERROR(Table2[[#This Row],[Food_PIN]]*$W233,)</f>
        <v>0</v>
      </c>
      <c r="AW233" s="1">
        <f>IFERROR(Table2[[#This Row],[Protection_CP_PIN]]*$W233,)</f>
        <v>0</v>
      </c>
      <c r="AX233" s="1">
        <f>IFERROR(Table2[[#This Row],[Protection_GBV_PIN]]*$W233,)</f>
        <v>0</v>
      </c>
      <c r="AY233" s="1">
        <f>IFERROR(Table2[[#This Row],[Protection_MA_PIN]]*$W233,)</f>
        <v>0</v>
      </c>
      <c r="AZ233" s="1">
        <v>3</v>
      </c>
      <c r="BA233" s="1">
        <v>4</v>
      </c>
      <c r="BB233" s="1">
        <v>4</v>
      </c>
      <c r="BC233" s="1">
        <v>3</v>
      </c>
      <c r="BD233" s="1">
        <v>2</v>
      </c>
      <c r="BE233" s="1">
        <v>4</v>
      </c>
      <c r="BF233" s="1">
        <v>4</v>
      </c>
      <c r="BG233" s="1">
        <v>3</v>
      </c>
      <c r="BH233" s="1">
        <v>4</v>
      </c>
      <c r="BI233" s="1">
        <v>4</v>
      </c>
      <c r="BJ233" s="1">
        <v>4</v>
      </c>
      <c r="BK233" s="1">
        <v>3</v>
      </c>
      <c r="BL233" s="1">
        <v>4</v>
      </c>
    </row>
    <row r="234" spans="1:64" x14ac:dyDescent="0.35">
      <c r="A234" t="s">
        <v>157</v>
      </c>
      <c r="B234" t="s">
        <v>748</v>
      </c>
      <c r="C234" t="s">
        <v>158</v>
      </c>
      <c r="D234" t="s">
        <v>252</v>
      </c>
      <c r="E234" t="s">
        <v>925</v>
      </c>
      <c r="F234" t="s">
        <v>253</v>
      </c>
      <c r="G234" t="s">
        <v>252</v>
      </c>
      <c r="H234" s="1">
        <v>105177</v>
      </c>
      <c r="I234" s="1" t="s">
        <v>665</v>
      </c>
      <c r="J234" s="1">
        <v>93505</v>
      </c>
      <c r="K234" s="1">
        <v>21035</v>
      </c>
      <c r="L234" s="1">
        <v>30841.222067440038</v>
      </c>
      <c r="M234" s="1">
        <v>77140.399999999994</v>
      </c>
      <c r="N234" s="1">
        <v>22709</v>
      </c>
      <c r="O234" s="1">
        <v>105177</v>
      </c>
      <c r="P234" s="1">
        <v>87283</v>
      </c>
      <c r="Q234" s="1">
        <v>84142</v>
      </c>
      <c r="R234" s="1">
        <v>56762.190476190473</v>
      </c>
      <c r="S234" s="1">
        <v>26164.000000000004</v>
      </c>
      <c r="T234" s="1">
        <v>46380</v>
      </c>
      <c r="U234" s="1">
        <v>105177</v>
      </c>
      <c r="V234" s="3">
        <f>_xlfn.XLOOKUP(Table2[[#This Row],[admin3Pcode]],'Inter-sector dataset'!F:F,'Inter-sector dataset'!Q:Q)</f>
        <v>0</v>
      </c>
      <c r="W234" s="3">
        <f>_xlfn.XLOOKUP(Table2[[#This Row],[admin3Pcode]],'Inter-sector dataset'!F:F,'Inter-sector dataset'!R:R)</f>
        <v>0</v>
      </c>
      <c r="X234" s="1">
        <f>IFERROR(Table2[[#This Row],[Health_PIN]]*$V234,)</f>
        <v>0</v>
      </c>
      <c r="Y234" s="1">
        <f>IFERROR(Table2[[#This Row],[CCCM_PIN]]*$V234,)</f>
        <v>0</v>
      </c>
      <c r="Z234" s="1">
        <f>IFERROR(Table2[[#This Row],[ERL_PIN]]*$V234,)</f>
        <v>0</v>
      </c>
      <c r="AA234" s="1">
        <f>IFERROR(Table2[[#This Row],[NFI_PIN]]*$V234,)</f>
        <v>0</v>
      </c>
      <c r="AB234" s="1">
        <f>IFERROR(Table2[[#This Row],[Nutrition_PIN]]*$V234,)</f>
        <v>0</v>
      </c>
      <c r="AC234" s="1">
        <f>IFERROR(Table2[[#This Row],[Education_PIN]]*$V234,)</f>
        <v>0</v>
      </c>
      <c r="AD234" s="1">
        <f>IFERROR(Table2[[#This Row],[Shelter_PIN]]*$V234,)</f>
        <v>0</v>
      </c>
      <c r="AE234" s="1">
        <f>IFERROR(Table2[[#This Row],[WASH_PIN]]*$V234,)</f>
        <v>0</v>
      </c>
      <c r="AF234" s="1">
        <f>IFERROR(Table2[[#This Row],[WASH_acute_PIN]]*$V234,)</f>
        <v>0</v>
      </c>
      <c r="AG234" s="1">
        <f>IFERROR(Table2[[#This Row],[Protection_PIN]]*$V234,)</f>
        <v>0</v>
      </c>
      <c r="AH234" s="1">
        <f>IFERROR(Table2[[#This Row],[Food_PIN]]*$V234,)</f>
        <v>0</v>
      </c>
      <c r="AI234" s="1">
        <f>IFERROR(Table2[[#This Row],[Protection_CP_PIN]]*$V234,)</f>
        <v>0</v>
      </c>
      <c r="AJ234" s="1">
        <f>IFERROR(Table2[[#This Row],[Protection_GBV_PIN]]*$V234,)</f>
        <v>0</v>
      </c>
      <c r="AK234" s="1">
        <f>IFERROR(Table2[[#This Row],[Protection_MA_PIN]]*$V234,)</f>
        <v>0</v>
      </c>
      <c r="AL234" s="1">
        <f>IFERROR(Table2[[#This Row],[Health_PIN]]*$W234,)</f>
        <v>0</v>
      </c>
      <c r="AM234" s="1">
        <f>IFERROR(Table2[[#This Row],[CCCM_PIN]]*$W234,)</f>
        <v>0</v>
      </c>
      <c r="AN234" s="1">
        <f>IFERROR(Table2[[#This Row],[ERL_PIN]]*$W234,)</f>
        <v>0</v>
      </c>
      <c r="AO234" s="1">
        <f>IFERROR(Table2[[#This Row],[NFI_PIN]]*$W234,)</f>
        <v>0</v>
      </c>
      <c r="AP234" s="1">
        <f>IFERROR(Table2[[#This Row],[Nutrition_PIN]]*$W234,)</f>
        <v>0</v>
      </c>
      <c r="AQ234" s="1">
        <f>IFERROR(Table2[[#This Row],[Education_PIN]]*$W234,)</f>
        <v>0</v>
      </c>
      <c r="AR234" s="1">
        <f>IFERROR(Table2[[#This Row],[Shelter_PIN]]*$W234,)</f>
        <v>0</v>
      </c>
      <c r="AS234" s="1">
        <f>IFERROR(Table2[[#This Row],[WASH_PIN]]*$W234,)</f>
        <v>0</v>
      </c>
      <c r="AT234" s="1">
        <f>IFERROR(Table2[[#This Row],[WASH_acute_PIN]]*$W234,)</f>
        <v>0</v>
      </c>
      <c r="AU234" s="1">
        <f>IFERROR(Table2[[#This Row],[Protection_PIN]]*$W234,)</f>
        <v>0</v>
      </c>
      <c r="AV234" s="1">
        <f>IFERROR(Table2[[#This Row],[Food_PIN]]*$W234,)</f>
        <v>0</v>
      </c>
      <c r="AW234" s="1">
        <f>IFERROR(Table2[[#This Row],[Protection_CP_PIN]]*$W234,)</f>
        <v>0</v>
      </c>
      <c r="AX234" s="1">
        <f>IFERROR(Table2[[#This Row],[Protection_GBV_PIN]]*$W234,)</f>
        <v>0</v>
      </c>
      <c r="AY234" s="1">
        <f>IFERROR(Table2[[#This Row],[Protection_MA_PIN]]*$W234,)</f>
        <v>0</v>
      </c>
      <c r="AZ234" s="1">
        <v>3</v>
      </c>
      <c r="BA234" s="1">
        <v>4</v>
      </c>
      <c r="BB234" s="1">
        <v>4</v>
      </c>
      <c r="BC234" s="1">
        <v>2</v>
      </c>
      <c r="BD234" s="1">
        <v>3</v>
      </c>
      <c r="BE234" s="1">
        <v>5</v>
      </c>
      <c r="BF234" s="1">
        <v>4</v>
      </c>
      <c r="BG234" s="1">
        <v>3</v>
      </c>
      <c r="BH234" s="1">
        <v>4</v>
      </c>
      <c r="BI234" s="1">
        <v>4</v>
      </c>
      <c r="BJ234" s="1">
        <v>4</v>
      </c>
      <c r="BK234" s="1" t="s">
        <v>665</v>
      </c>
      <c r="BL234" s="1">
        <v>4</v>
      </c>
    </row>
    <row r="235" spans="1:64" x14ac:dyDescent="0.35">
      <c r="A235" t="s">
        <v>28</v>
      </c>
      <c r="B235" t="s">
        <v>761</v>
      </c>
      <c r="C235" t="s">
        <v>29</v>
      </c>
      <c r="D235" t="s">
        <v>243</v>
      </c>
      <c r="E235" t="s">
        <v>926</v>
      </c>
      <c r="F235" t="s">
        <v>244</v>
      </c>
      <c r="G235" t="s">
        <v>243</v>
      </c>
      <c r="H235" s="1">
        <v>55427</v>
      </c>
      <c r="I235" s="1" t="s">
        <v>665</v>
      </c>
      <c r="J235" s="1">
        <v>105599</v>
      </c>
      <c r="K235" s="1">
        <v>33256</v>
      </c>
      <c r="L235" s="1">
        <v>35799.771409440727</v>
      </c>
      <c r="M235" s="1">
        <v>46410.616666666669</v>
      </c>
      <c r="N235" s="1">
        <v>33188</v>
      </c>
      <c r="O235" s="1">
        <v>105730.54575898335</v>
      </c>
      <c r="P235" s="1">
        <v>82005</v>
      </c>
      <c r="Q235" s="1">
        <v>88683</v>
      </c>
      <c r="R235" s="1">
        <v>71928.167938931292</v>
      </c>
      <c r="S235" s="1">
        <v>39467.4</v>
      </c>
      <c r="T235" s="1">
        <v>43643</v>
      </c>
      <c r="U235" s="1">
        <v>110854</v>
      </c>
      <c r="V235" s="3">
        <f>_xlfn.XLOOKUP(Table2[[#This Row],[admin3Pcode]],'Inter-sector dataset'!F:F,'Inter-sector dataset'!Q:Q)</f>
        <v>0</v>
      </c>
      <c r="W235" s="3">
        <f>_xlfn.XLOOKUP(Table2[[#This Row],[admin3Pcode]],'Inter-sector dataset'!F:F,'Inter-sector dataset'!R:R)</f>
        <v>0</v>
      </c>
      <c r="X235" s="1">
        <f>IFERROR(Table2[[#This Row],[Health_PIN]]*$V235,)</f>
        <v>0</v>
      </c>
      <c r="Y235" s="1">
        <f>IFERROR(Table2[[#This Row],[CCCM_PIN]]*$V235,)</f>
        <v>0</v>
      </c>
      <c r="Z235" s="1">
        <f>IFERROR(Table2[[#This Row],[ERL_PIN]]*$V235,)</f>
        <v>0</v>
      </c>
      <c r="AA235" s="1">
        <f>IFERROR(Table2[[#This Row],[NFI_PIN]]*$V235,)</f>
        <v>0</v>
      </c>
      <c r="AB235" s="1">
        <f>IFERROR(Table2[[#This Row],[Nutrition_PIN]]*$V235,)</f>
        <v>0</v>
      </c>
      <c r="AC235" s="1">
        <f>IFERROR(Table2[[#This Row],[Education_PIN]]*$V235,)</f>
        <v>0</v>
      </c>
      <c r="AD235" s="1">
        <f>IFERROR(Table2[[#This Row],[Shelter_PIN]]*$V235,)</f>
        <v>0</v>
      </c>
      <c r="AE235" s="1">
        <f>IFERROR(Table2[[#This Row],[WASH_PIN]]*$V235,)</f>
        <v>0</v>
      </c>
      <c r="AF235" s="1">
        <f>IFERROR(Table2[[#This Row],[WASH_acute_PIN]]*$V235,)</f>
        <v>0</v>
      </c>
      <c r="AG235" s="1">
        <f>IFERROR(Table2[[#This Row],[Protection_PIN]]*$V235,)</f>
        <v>0</v>
      </c>
      <c r="AH235" s="1">
        <f>IFERROR(Table2[[#This Row],[Food_PIN]]*$V235,)</f>
        <v>0</v>
      </c>
      <c r="AI235" s="1">
        <f>IFERROR(Table2[[#This Row],[Protection_CP_PIN]]*$V235,)</f>
        <v>0</v>
      </c>
      <c r="AJ235" s="1">
        <f>IFERROR(Table2[[#This Row],[Protection_GBV_PIN]]*$V235,)</f>
        <v>0</v>
      </c>
      <c r="AK235" s="1">
        <f>IFERROR(Table2[[#This Row],[Protection_MA_PIN]]*$V235,)</f>
        <v>0</v>
      </c>
      <c r="AL235" s="1">
        <f>IFERROR(Table2[[#This Row],[Health_PIN]]*$W235,)</f>
        <v>0</v>
      </c>
      <c r="AM235" s="1">
        <f>IFERROR(Table2[[#This Row],[CCCM_PIN]]*$W235,)</f>
        <v>0</v>
      </c>
      <c r="AN235" s="1">
        <f>IFERROR(Table2[[#This Row],[ERL_PIN]]*$W235,)</f>
        <v>0</v>
      </c>
      <c r="AO235" s="1">
        <f>IFERROR(Table2[[#This Row],[NFI_PIN]]*$W235,)</f>
        <v>0</v>
      </c>
      <c r="AP235" s="1">
        <f>IFERROR(Table2[[#This Row],[Nutrition_PIN]]*$W235,)</f>
        <v>0</v>
      </c>
      <c r="AQ235" s="1">
        <f>IFERROR(Table2[[#This Row],[Education_PIN]]*$W235,)</f>
        <v>0</v>
      </c>
      <c r="AR235" s="1">
        <f>IFERROR(Table2[[#This Row],[Shelter_PIN]]*$W235,)</f>
        <v>0</v>
      </c>
      <c r="AS235" s="1">
        <f>IFERROR(Table2[[#This Row],[WASH_PIN]]*$W235,)</f>
        <v>0</v>
      </c>
      <c r="AT235" s="1">
        <f>IFERROR(Table2[[#This Row],[WASH_acute_PIN]]*$W235,)</f>
        <v>0</v>
      </c>
      <c r="AU235" s="1">
        <f>IFERROR(Table2[[#This Row],[Protection_PIN]]*$W235,)</f>
        <v>0</v>
      </c>
      <c r="AV235" s="1">
        <f>IFERROR(Table2[[#This Row],[Food_PIN]]*$W235,)</f>
        <v>0</v>
      </c>
      <c r="AW235" s="1">
        <f>IFERROR(Table2[[#This Row],[Protection_CP_PIN]]*$W235,)</f>
        <v>0</v>
      </c>
      <c r="AX235" s="1">
        <f>IFERROR(Table2[[#This Row],[Protection_GBV_PIN]]*$W235,)</f>
        <v>0</v>
      </c>
      <c r="AY235" s="1">
        <f>IFERROR(Table2[[#This Row],[Protection_MA_PIN]]*$W235,)</f>
        <v>0</v>
      </c>
      <c r="AZ235" s="1">
        <v>3</v>
      </c>
      <c r="BA235" s="1">
        <v>4</v>
      </c>
      <c r="BB235" s="1">
        <v>4</v>
      </c>
      <c r="BC235" s="1">
        <v>3</v>
      </c>
      <c r="BD235" s="1">
        <v>4</v>
      </c>
      <c r="BE235" s="1">
        <v>3</v>
      </c>
      <c r="BF235" s="1">
        <v>4</v>
      </c>
      <c r="BG235" s="1">
        <v>4</v>
      </c>
      <c r="BH235" s="1">
        <v>4</v>
      </c>
      <c r="BI235" s="1">
        <v>4</v>
      </c>
      <c r="BJ235" s="1">
        <v>4</v>
      </c>
      <c r="BK235" s="1" t="s">
        <v>665</v>
      </c>
      <c r="BL235" s="1">
        <v>4</v>
      </c>
    </row>
    <row r="236" spans="1:64" x14ac:dyDescent="0.35">
      <c r="A236" t="s">
        <v>157</v>
      </c>
      <c r="B236" t="s">
        <v>748</v>
      </c>
      <c r="C236" t="s">
        <v>158</v>
      </c>
      <c r="D236" t="s">
        <v>350</v>
      </c>
      <c r="E236" t="s">
        <v>927</v>
      </c>
      <c r="F236" t="s">
        <v>351</v>
      </c>
      <c r="G236" t="s">
        <v>350</v>
      </c>
      <c r="H236" s="1">
        <v>111654</v>
      </c>
      <c r="I236" s="1">
        <v>25270</v>
      </c>
      <c r="J236" s="1">
        <v>105484</v>
      </c>
      <c r="K236" s="1">
        <v>46070</v>
      </c>
      <c r="L236" s="1">
        <v>36853.698223252839</v>
      </c>
      <c r="M236" s="1">
        <v>52205.033333333333</v>
      </c>
      <c r="N236" s="1">
        <v>29875</v>
      </c>
      <c r="O236" s="1">
        <v>111654</v>
      </c>
      <c r="P236" s="1">
        <v>47869</v>
      </c>
      <c r="Q236" s="1">
        <v>89323</v>
      </c>
      <c r="R236" s="1">
        <v>86321.249999999985</v>
      </c>
      <c r="S236" s="1">
        <v>44561.700000000004</v>
      </c>
      <c r="T236" s="1">
        <v>48749</v>
      </c>
      <c r="U236" s="1">
        <v>92892</v>
      </c>
      <c r="V236" s="3">
        <f>_xlfn.XLOOKUP(Table2[[#This Row],[admin3Pcode]],'Inter-sector dataset'!F:F,'Inter-sector dataset'!Q:Q)</f>
        <v>0</v>
      </c>
      <c r="W236" s="3">
        <f>_xlfn.XLOOKUP(Table2[[#This Row],[admin3Pcode]],'Inter-sector dataset'!F:F,'Inter-sector dataset'!R:R)</f>
        <v>0</v>
      </c>
      <c r="X236" s="1">
        <f>IFERROR(Table2[[#This Row],[Health_PIN]]*$V236,)</f>
        <v>0</v>
      </c>
      <c r="Y236" s="1">
        <f>IFERROR(Table2[[#This Row],[CCCM_PIN]]*$V236,)</f>
        <v>0</v>
      </c>
      <c r="Z236" s="1">
        <f>IFERROR(Table2[[#This Row],[ERL_PIN]]*$V236,)</f>
        <v>0</v>
      </c>
      <c r="AA236" s="1">
        <f>IFERROR(Table2[[#This Row],[NFI_PIN]]*$V236,)</f>
        <v>0</v>
      </c>
      <c r="AB236" s="1">
        <f>IFERROR(Table2[[#This Row],[Nutrition_PIN]]*$V236,)</f>
        <v>0</v>
      </c>
      <c r="AC236" s="1">
        <f>IFERROR(Table2[[#This Row],[Education_PIN]]*$V236,)</f>
        <v>0</v>
      </c>
      <c r="AD236" s="1">
        <f>IFERROR(Table2[[#This Row],[Shelter_PIN]]*$V236,)</f>
        <v>0</v>
      </c>
      <c r="AE236" s="1">
        <f>IFERROR(Table2[[#This Row],[WASH_PIN]]*$V236,)</f>
        <v>0</v>
      </c>
      <c r="AF236" s="1">
        <f>IFERROR(Table2[[#This Row],[WASH_acute_PIN]]*$V236,)</f>
        <v>0</v>
      </c>
      <c r="AG236" s="1">
        <f>IFERROR(Table2[[#This Row],[Protection_PIN]]*$V236,)</f>
        <v>0</v>
      </c>
      <c r="AH236" s="1">
        <f>IFERROR(Table2[[#This Row],[Food_PIN]]*$V236,)</f>
        <v>0</v>
      </c>
      <c r="AI236" s="1">
        <f>IFERROR(Table2[[#This Row],[Protection_CP_PIN]]*$V236,)</f>
        <v>0</v>
      </c>
      <c r="AJ236" s="1">
        <f>IFERROR(Table2[[#This Row],[Protection_GBV_PIN]]*$V236,)</f>
        <v>0</v>
      </c>
      <c r="AK236" s="1">
        <f>IFERROR(Table2[[#This Row],[Protection_MA_PIN]]*$V236,)</f>
        <v>0</v>
      </c>
      <c r="AL236" s="1">
        <f>IFERROR(Table2[[#This Row],[Health_PIN]]*$W236,)</f>
        <v>0</v>
      </c>
      <c r="AM236" s="1">
        <f>IFERROR(Table2[[#This Row],[CCCM_PIN]]*$W236,)</f>
        <v>0</v>
      </c>
      <c r="AN236" s="1">
        <f>IFERROR(Table2[[#This Row],[ERL_PIN]]*$W236,)</f>
        <v>0</v>
      </c>
      <c r="AO236" s="1">
        <f>IFERROR(Table2[[#This Row],[NFI_PIN]]*$W236,)</f>
        <v>0</v>
      </c>
      <c r="AP236" s="1">
        <f>IFERROR(Table2[[#This Row],[Nutrition_PIN]]*$W236,)</f>
        <v>0</v>
      </c>
      <c r="AQ236" s="1">
        <f>IFERROR(Table2[[#This Row],[Education_PIN]]*$W236,)</f>
        <v>0</v>
      </c>
      <c r="AR236" s="1">
        <f>IFERROR(Table2[[#This Row],[Shelter_PIN]]*$W236,)</f>
        <v>0</v>
      </c>
      <c r="AS236" s="1">
        <f>IFERROR(Table2[[#This Row],[WASH_PIN]]*$W236,)</f>
        <v>0</v>
      </c>
      <c r="AT236" s="1">
        <f>IFERROR(Table2[[#This Row],[WASH_acute_PIN]]*$W236,)</f>
        <v>0</v>
      </c>
      <c r="AU236" s="1">
        <f>IFERROR(Table2[[#This Row],[Protection_PIN]]*$W236,)</f>
        <v>0</v>
      </c>
      <c r="AV236" s="1">
        <f>IFERROR(Table2[[#This Row],[Food_PIN]]*$W236,)</f>
        <v>0</v>
      </c>
      <c r="AW236" s="1">
        <f>IFERROR(Table2[[#This Row],[Protection_CP_PIN]]*$W236,)</f>
        <v>0</v>
      </c>
      <c r="AX236" s="1">
        <f>IFERROR(Table2[[#This Row],[Protection_GBV_PIN]]*$W236,)</f>
        <v>0</v>
      </c>
      <c r="AY236" s="1">
        <f>IFERROR(Table2[[#This Row],[Protection_MA_PIN]]*$W236,)</f>
        <v>0</v>
      </c>
      <c r="AZ236" s="1">
        <v>3</v>
      </c>
      <c r="BA236" s="1">
        <v>4</v>
      </c>
      <c r="BB236" s="1">
        <v>4</v>
      </c>
      <c r="BC236" s="1">
        <v>4</v>
      </c>
      <c r="BD236" s="1">
        <v>3</v>
      </c>
      <c r="BE236" s="1">
        <v>5</v>
      </c>
      <c r="BF236" s="1">
        <v>4</v>
      </c>
      <c r="BG236" s="1">
        <v>4</v>
      </c>
      <c r="BH236" s="1">
        <v>4</v>
      </c>
      <c r="BI236" s="1">
        <v>4</v>
      </c>
      <c r="BJ236" s="1">
        <v>4</v>
      </c>
      <c r="BK236" s="1">
        <v>4</v>
      </c>
      <c r="BL236" s="1">
        <v>4</v>
      </c>
    </row>
    <row r="237" spans="1:64" x14ac:dyDescent="0.35">
      <c r="A237" t="s">
        <v>192</v>
      </c>
      <c r="B237" t="s">
        <v>711</v>
      </c>
      <c r="C237" t="s">
        <v>193</v>
      </c>
      <c r="D237" t="s">
        <v>341</v>
      </c>
      <c r="E237" t="s">
        <v>928</v>
      </c>
      <c r="F237" t="s">
        <v>362</v>
      </c>
      <c r="G237" t="s">
        <v>341</v>
      </c>
      <c r="H237" s="1">
        <v>86622.75</v>
      </c>
      <c r="I237" s="1" t="s">
        <v>665</v>
      </c>
      <c r="J237" s="1">
        <v>80859</v>
      </c>
      <c r="K237" s="1">
        <v>22750</v>
      </c>
      <c r="L237" s="1">
        <v>39766.029869664002</v>
      </c>
      <c r="M237" s="1">
        <v>47508.533333333333</v>
      </c>
      <c r="N237" s="1">
        <v>34152</v>
      </c>
      <c r="O237" s="1">
        <v>92498.675772298113</v>
      </c>
      <c r="P237" s="1">
        <v>27714</v>
      </c>
      <c r="Q237" s="1">
        <v>92398</v>
      </c>
      <c r="R237" s="1">
        <v>85154.567796610179</v>
      </c>
      <c r="S237" s="1">
        <v>42093</v>
      </c>
      <c r="T237" s="1">
        <v>50083</v>
      </c>
      <c r="U237" s="1">
        <v>108262</v>
      </c>
      <c r="V237" s="3">
        <f>_xlfn.XLOOKUP(Table2[[#This Row],[admin3Pcode]],'Inter-sector dataset'!F:F,'Inter-sector dataset'!Q:Q)</f>
        <v>1</v>
      </c>
      <c r="W237" s="3">
        <f>_xlfn.XLOOKUP(Table2[[#This Row],[admin3Pcode]],'Inter-sector dataset'!F:F,'Inter-sector dataset'!R:R)</f>
        <v>0</v>
      </c>
      <c r="X237" s="1">
        <f>IFERROR(Table2[[#This Row],[Health_PIN]]*$V237,)</f>
        <v>86622.75</v>
      </c>
      <c r="Y237" s="1">
        <f>IFERROR(Table2[[#This Row],[CCCM_PIN]]*$V237,)</f>
        <v>0</v>
      </c>
      <c r="Z237" s="1">
        <f>IFERROR(Table2[[#This Row],[ERL_PIN]]*$V237,)</f>
        <v>80859</v>
      </c>
      <c r="AA237" s="1">
        <f>IFERROR(Table2[[#This Row],[NFI_PIN]]*$V237,)</f>
        <v>22750</v>
      </c>
      <c r="AB237" s="1">
        <f>IFERROR(Table2[[#This Row],[Nutrition_PIN]]*$V237,)</f>
        <v>39766.029869664002</v>
      </c>
      <c r="AC237" s="1">
        <f>IFERROR(Table2[[#This Row],[Education_PIN]]*$V237,)</f>
        <v>47508.533333333333</v>
      </c>
      <c r="AD237" s="1">
        <f>IFERROR(Table2[[#This Row],[Shelter_PIN]]*$V237,)</f>
        <v>34152</v>
      </c>
      <c r="AE237" s="1">
        <f>IFERROR(Table2[[#This Row],[WASH_PIN]]*$V237,)</f>
        <v>92498.675772298113</v>
      </c>
      <c r="AF237" s="1">
        <f>IFERROR(Table2[[#This Row],[WASH_acute_PIN]]*$V237,)</f>
        <v>27714</v>
      </c>
      <c r="AG237" s="1">
        <f>IFERROR(Table2[[#This Row],[Protection_PIN]]*$V237,)</f>
        <v>92398</v>
      </c>
      <c r="AH237" s="1">
        <f>IFERROR(Table2[[#This Row],[Food_PIN]]*$V237,)</f>
        <v>85154.567796610179</v>
      </c>
      <c r="AI237" s="1">
        <f>IFERROR(Table2[[#This Row],[Protection_CP_PIN]]*$V237,)</f>
        <v>42093</v>
      </c>
      <c r="AJ237" s="1">
        <f>IFERROR(Table2[[#This Row],[Protection_GBV_PIN]]*$V237,)</f>
        <v>50083</v>
      </c>
      <c r="AK237" s="1">
        <f>IFERROR(Table2[[#This Row],[Protection_MA_PIN]]*$V237,)</f>
        <v>108262</v>
      </c>
      <c r="AL237" s="1">
        <f>IFERROR(Table2[[#This Row],[Health_PIN]]*$W237,)</f>
        <v>0</v>
      </c>
      <c r="AM237" s="1">
        <f>IFERROR(Table2[[#This Row],[CCCM_PIN]]*$W237,)</f>
        <v>0</v>
      </c>
      <c r="AN237" s="1">
        <f>IFERROR(Table2[[#This Row],[ERL_PIN]]*$W237,)</f>
        <v>0</v>
      </c>
      <c r="AO237" s="1">
        <f>IFERROR(Table2[[#This Row],[NFI_PIN]]*$W237,)</f>
        <v>0</v>
      </c>
      <c r="AP237" s="1">
        <f>IFERROR(Table2[[#This Row],[Nutrition_PIN]]*$W237,)</f>
        <v>0</v>
      </c>
      <c r="AQ237" s="1">
        <f>IFERROR(Table2[[#This Row],[Education_PIN]]*$W237,)</f>
        <v>0</v>
      </c>
      <c r="AR237" s="1">
        <f>IFERROR(Table2[[#This Row],[Shelter_PIN]]*$W237,)</f>
        <v>0</v>
      </c>
      <c r="AS237" s="1">
        <f>IFERROR(Table2[[#This Row],[WASH_PIN]]*$W237,)</f>
        <v>0</v>
      </c>
      <c r="AT237" s="1">
        <f>IFERROR(Table2[[#This Row],[WASH_acute_PIN]]*$W237,)</f>
        <v>0</v>
      </c>
      <c r="AU237" s="1">
        <f>IFERROR(Table2[[#This Row],[Protection_PIN]]*$W237,)</f>
        <v>0</v>
      </c>
      <c r="AV237" s="1">
        <f>IFERROR(Table2[[#This Row],[Food_PIN]]*$W237,)</f>
        <v>0</v>
      </c>
      <c r="AW237" s="1">
        <f>IFERROR(Table2[[#This Row],[Protection_CP_PIN]]*$W237,)</f>
        <v>0</v>
      </c>
      <c r="AX237" s="1">
        <f>IFERROR(Table2[[#This Row],[Protection_GBV_PIN]]*$W237,)</f>
        <v>0</v>
      </c>
      <c r="AY237" s="1">
        <f>IFERROR(Table2[[#This Row],[Protection_MA_PIN]]*$W237,)</f>
        <v>0</v>
      </c>
      <c r="AZ237" s="1">
        <v>3</v>
      </c>
      <c r="BA237" s="1">
        <v>3</v>
      </c>
      <c r="BB237" s="1">
        <v>4</v>
      </c>
      <c r="BC237" s="1">
        <v>3</v>
      </c>
      <c r="BD237" s="1">
        <v>3</v>
      </c>
      <c r="BE237" s="1">
        <v>4</v>
      </c>
      <c r="BF237" s="1">
        <v>4</v>
      </c>
      <c r="BG237" s="1">
        <v>4</v>
      </c>
      <c r="BH237" s="1">
        <v>4</v>
      </c>
      <c r="BI237" s="1">
        <v>4</v>
      </c>
      <c r="BJ237" s="1">
        <v>3</v>
      </c>
      <c r="BK237" s="1" t="s">
        <v>665</v>
      </c>
      <c r="BL237" s="1">
        <v>3</v>
      </c>
    </row>
    <row r="238" spans="1:64" x14ac:dyDescent="0.35">
      <c r="A238" t="s">
        <v>28</v>
      </c>
      <c r="B238" t="s">
        <v>761</v>
      </c>
      <c r="C238" t="s">
        <v>29</v>
      </c>
      <c r="D238" t="s">
        <v>121</v>
      </c>
      <c r="E238" t="s">
        <v>929</v>
      </c>
      <c r="F238" t="s">
        <v>123</v>
      </c>
      <c r="G238" t="s">
        <v>121</v>
      </c>
      <c r="H238" s="1">
        <v>66908.5</v>
      </c>
      <c r="I238" s="1" t="s">
        <v>665</v>
      </c>
      <c r="J238" s="1">
        <v>116016</v>
      </c>
      <c r="K238" s="1">
        <v>26763</v>
      </c>
      <c r="L238" s="1">
        <v>39487.939026797809</v>
      </c>
      <c r="M238" s="1">
        <v>14731.745288794982</v>
      </c>
      <c r="N238" s="1">
        <v>26763</v>
      </c>
      <c r="O238" s="1">
        <v>77772.479754929678</v>
      </c>
      <c r="P238" s="1">
        <v>37343</v>
      </c>
      <c r="Q238" s="1">
        <v>107054</v>
      </c>
      <c r="R238" s="1">
        <v>56295.427586206897</v>
      </c>
      <c r="S238" s="1">
        <v>28569.599999999999</v>
      </c>
      <c r="T238" s="1">
        <v>36289</v>
      </c>
      <c r="U238" s="1">
        <v>114246</v>
      </c>
      <c r="V238" s="3">
        <f>_xlfn.XLOOKUP(Table2[[#This Row],[admin3Pcode]],'Inter-sector dataset'!F:F,'Inter-sector dataset'!Q:Q)</f>
        <v>0</v>
      </c>
      <c r="W238" s="3">
        <f>_xlfn.XLOOKUP(Table2[[#This Row],[admin3Pcode]],'Inter-sector dataset'!F:F,'Inter-sector dataset'!R:R)</f>
        <v>0</v>
      </c>
      <c r="X238" s="1">
        <f>IFERROR(Table2[[#This Row],[Health_PIN]]*$V238,)</f>
        <v>0</v>
      </c>
      <c r="Y238" s="1">
        <f>IFERROR(Table2[[#This Row],[CCCM_PIN]]*$V238,)</f>
        <v>0</v>
      </c>
      <c r="Z238" s="1">
        <f>IFERROR(Table2[[#This Row],[ERL_PIN]]*$V238,)</f>
        <v>0</v>
      </c>
      <c r="AA238" s="1">
        <f>IFERROR(Table2[[#This Row],[NFI_PIN]]*$V238,)</f>
        <v>0</v>
      </c>
      <c r="AB238" s="1">
        <f>IFERROR(Table2[[#This Row],[Nutrition_PIN]]*$V238,)</f>
        <v>0</v>
      </c>
      <c r="AC238" s="1">
        <f>IFERROR(Table2[[#This Row],[Education_PIN]]*$V238,)</f>
        <v>0</v>
      </c>
      <c r="AD238" s="1">
        <f>IFERROR(Table2[[#This Row],[Shelter_PIN]]*$V238,)</f>
        <v>0</v>
      </c>
      <c r="AE238" s="1">
        <f>IFERROR(Table2[[#This Row],[WASH_PIN]]*$V238,)</f>
        <v>0</v>
      </c>
      <c r="AF238" s="1">
        <f>IFERROR(Table2[[#This Row],[WASH_acute_PIN]]*$V238,)</f>
        <v>0</v>
      </c>
      <c r="AG238" s="1">
        <f>IFERROR(Table2[[#This Row],[Protection_PIN]]*$V238,)</f>
        <v>0</v>
      </c>
      <c r="AH238" s="1">
        <f>IFERROR(Table2[[#This Row],[Food_PIN]]*$V238,)</f>
        <v>0</v>
      </c>
      <c r="AI238" s="1">
        <f>IFERROR(Table2[[#This Row],[Protection_CP_PIN]]*$V238,)</f>
        <v>0</v>
      </c>
      <c r="AJ238" s="1">
        <f>IFERROR(Table2[[#This Row],[Protection_GBV_PIN]]*$V238,)</f>
        <v>0</v>
      </c>
      <c r="AK238" s="1">
        <f>IFERROR(Table2[[#This Row],[Protection_MA_PIN]]*$V238,)</f>
        <v>0</v>
      </c>
      <c r="AL238" s="1">
        <f>IFERROR(Table2[[#This Row],[Health_PIN]]*$W238,)</f>
        <v>0</v>
      </c>
      <c r="AM238" s="1">
        <f>IFERROR(Table2[[#This Row],[CCCM_PIN]]*$W238,)</f>
        <v>0</v>
      </c>
      <c r="AN238" s="1">
        <f>IFERROR(Table2[[#This Row],[ERL_PIN]]*$W238,)</f>
        <v>0</v>
      </c>
      <c r="AO238" s="1">
        <f>IFERROR(Table2[[#This Row],[NFI_PIN]]*$W238,)</f>
        <v>0</v>
      </c>
      <c r="AP238" s="1">
        <f>IFERROR(Table2[[#This Row],[Nutrition_PIN]]*$W238,)</f>
        <v>0</v>
      </c>
      <c r="AQ238" s="1">
        <f>IFERROR(Table2[[#This Row],[Education_PIN]]*$W238,)</f>
        <v>0</v>
      </c>
      <c r="AR238" s="1">
        <f>IFERROR(Table2[[#This Row],[Shelter_PIN]]*$W238,)</f>
        <v>0</v>
      </c>
      <c r="AS238" s="1">
        <f>IFERROR(Table2[[#This Row],[WASH_PIN]]*$W238,)</f>
        <v>0</v>
      </c>
      <c r="AT238" s="1">
        <f>IFERROR(Table2[[#This Row],[WASH_acute_PIN]]*$W238,)</f>
        <v>0</v>
      </c>
      <c r="AU238" s="1">
        <f>IFERROR(Table2[[#This Row],[Protection_PIN]]*$W238,)</f>
        <v>0</v>
      </c>
      <c r="AV238" s="1">
        <f>IFERROR(Table2[[#This Row],[Food_PIN]]*$W238,)</f>
        <v>0</v>
      </c>
      <c r="AW238" s="1">
        <f>IFERROR(Table2[[#This Row],[Protection_CP_PIN]]*$W238,)</f>
        <v>0</v>
      </c>
      <c r="AX238" s="1">
        <f>IFERROR(Table2[[#This Row],[Protection_GBV_PIN]]*$W238,)</f>
        <v>0</v>
      </c>
      <c r="AY238" s="1">
        <f>IFERROR(Table2[[#This Row],[Protection_MA_PIN]]*$W238,)</f>
        <v>0</v>
      </c>
      <c r="AZ238" s="1">
        <v>2</v>
      </c>
      <c r="BA238" s="1">
        <v>3</v>
      </c>
      <c r="BB238" s="1">
        <v>4</v>
      </c>
      <c r="BC238" s="1">
        <v>2</v>
      </c>
      <c r="BD238" s="1">
        <v>3</v>
      </c>
      <c r="BE238" s="1">
        <v>3</v>
      </c>
      <c r="BF238" s="1">
        <v>4</v>
      </c>
      <c r="BG238" s="1">
        <v>3</v>
      </c>
      <c r="BH238" s="1">
        <v>3</v>
      </c>
      <c r="BI238" s="1">
        <v>4</v>
      </c>
      <c r="BJ238" s="1">
        <v>3</v>
      </c>
      <c r="BK238" s="1" t="s">
        <v>665</v>
      </c>
      <c r="BL238" s="1">
        <v>4</v>
      </c>
    </row>
    <row r="239" spans="1:64" x14ac:dyDescent="0.35">
      <c r="A239" t="s">
        <v>54</v>
      </c>
      <c r="B239" t="s">
        <v>709</v>
      </c>
      <c r="C239" t="s">
        <v>55</v>
      </c>
      <c r="D239" t="s">
        <v>163</v>
      </c>
      <c r="E239" t="s">
        <v>930</v>
      </c>
      <c r="F239" t="s">
        <v>302</v>
      </c>
      <c r="G239" t="s">
        <v>163</v>
      </c>
      <c r="H239" s="1">
        <v>140901</v>
      </c>
      <c r="I239" s="1">
        <v>30726</v>
      </c>
      <c r="J239" s="1">
        <v>64388</v>
      </c>
      <c r="K239" s="1">
        <v>58084</v>
      </c>
      <c r="L239" s="1">
        <v>67729.332413935364</v>
      </c>
      <c r="M239" s="1">
        <v>60953.23333333333</v>
      </c>
      <c r="N239" s="1">
        <v>54057</v>
      </c>
      <c r="O239" s="1">
        <v>180848.25280749673</v>
      </c>
      <c r="P239" s="1">
        <v>57972</v>
      </c>
      <c r="Q239" s="1">
        <v>150294</v>
      </c>
      <c r="R239" s="1">
        <v>135108.15384615381</v>
      </c>
      <c r="S239" s="1">
        <v>68759.100000000006</v>
      </c>
      <c r="T239" s="1">
        <v>82904</v>
      </c>
      <c r="U239" s="1">
        <v>75723</v>
      </c>
      <c r="V239" s="3">
        <f>_xlfn.XLOOKUP(Table2[[#This Row],[admin3Pcode]],'Inter-sector dataset'!F:F,'Inter-sector dataset'!Q:Q)</f>
        <v>0.84</v>
      </c>
      <c r="W239" s="3">
        <f>_xlfn.XLOOKUP(Table2[[#This Row],[admin3Pcode]],'Inter-sector dataset'!F:F,'Inter-sector dataset'!R:R)</f>
        <v>0</v>
      </c>
      <c r="X239" s="1">
        <f>IFERROR(Table2[[#This Row],[Health_PIN]]*$V239,)</f>
        <v>118356.84</v>
      </c>
      <c r="Y239" s="1">
        <f>IFERROR(Table2[[#This Row],[CCCM_PIN]]*$V239,)</f>
        <v>25809.84</v>
      </c>
      <c r="Z239" s="1">
        <f>IFERROR(Table2[[#This Row],[ERL_PIN]]*$V239,)</f>
        <v>54085.919999999998</v>
      </c>
      <c r="AA239" s="1">
        <f>IFERROR(Table2[[#This Row],[NFI_PIN]]*$V239,)</f>
        <v>48790.559999999998</v>
      </c>
      <c r="AB239" s="1">
        <f>IFERROR(Table2[[#This Row],[Nutrition_PIN]]*$V239,)</f>
        <v>56892.639227705702</v>
      </c>
      <c r="AC239" s="1">
        <f>IFERROR(Table2[[#This Row],[Education_PIN]]*$V239,)</f>
        <v>51200.715999999993</v>
      </c>
      <c r="AD239" s="1">
        <f>IFERROR(Table2[[#This Row],[Shelter_PIN]]*$V239,)</f>
        <v>45407.88</v>
      </c>
      <c r="AE239" s="1">
        <f>IFERROR(Table2[[#This Row],[WASH_PIN]]*$V239,)</f>
        <v>151912.53235829723</v>
      </c>
      <c r="AF239" s="1">
        <f>IFERROR(Table2[[#This Row],[WASH_acute_PIN]]*$V239,)</f>
        <v>48696.479999999996</v>
      </c>
      <c r="AG239" s="1">
        <f>IFERROR(Table2[[#This Row],[Protection_PIN]]*$V239,)</f>
        <v>126246.95999999999</v>
      </c>
      <c r="AH239" s="1">
        <f>IFERROR(Table2[[#This Row],[Food_PIN]]*$V239,)</f>
        <v>113490.84923076921</v>
      </c>
      <c r="AI239" s="1">
        <f>IFERROR(Table2[[#This Row],[Protection_CP_PIN]]*$V239,)</f>
        <v>57757.644</v>
      </c>
      <c r="AJ239" s="1">
        <f>IFERROR(Table2[[#This Row],[Protection_GBV_PIN]]*$V239,)</f>
        <v>69639.360000000001</v>
      </c>
      <c r="AK239" s="1">
        <f>IFERROR(Table2[[#This Row],[Protection_MA_PIN]]*$V239,)</f>
        <v>63607.32</v>
      </c>
      <c r="AL239" s="1">
        <f>IFERROR(Table2[[#This Row],[Health_PIN]]*$W239,)</f>
        <v>0</v>
      </c>
      <c r="AM239" s="1">
        <f>IFERROR(Table2[[#This Row],[CCCM_PIN]]*$W239,)</f>
        <v>0</v>
      </c>
      <c r="AN239" s="1">
        <f>IFERROR(Table2[[#This Row],[ERL_PIN]]*$W239,)</f>
        <v>0</v>
      </c>
      <c r="AO239" s="1">
        <f>IFERROR(Table2[[#This Row],[NFI_PIN]]*$W239,)</f>
        <v>0</v>
      </c>
      <c r="AP239" s="1">
        <f>IFERROR(Table2[[#This Row],[Nutrition_PIN]]*$W239,)</f>
        <v>0</v>
      </c>
      <c r="AQ239" s="1">
        <f>IFERROR(Table2[[#This Row],[Education_PIN]]*$W239,)</f>
        <v>0</v>
      </c>
      <c r="AR239" s="1">
        <f>IFERROR(Table2[[#This Row],[Shelter_PIN]]*$W239,)</f>
        <v>0</v>
      </c>
      <c r="AS239" s="1">
        <f>IFERROR(Table2[[#This Row],[WASH_PIN]]*$W239,)</f>
        <v>0</v>
      </c>
      <c r="AT239" s="1">
        <f>IFERROR(Table2[[#This Row],[WASH_acute_PIN]]*$W239,)</f>
        <v>0</v>
      </c>
      <c r="AU239" s="1">
        <f>IFERROR(Table2[[#This Row],[Protection_PIN]]*$W239,)</f>
        <v>0</v>
      </c>
      <c r="AV239" s="1">
        <f>IFERROR(Table2[[#This Row],[Food_PIN]]*$W239,)</f>
        <v>0</v>
      </c>
      <c r="AW239" s="1">
        <f>IFERROR(Table2[[#This Row],[Protection_CP_PIN]]*$W239,)</f>
        <v>0</v>
      </c>
      <c r="AX239" s="1">
        <f>IFERROR(Table2[[#This Row],[Protection_GBV_PIN]]*$W239,)</f>
        <v>0</v>
      </c>
      <c r="AY239" s="1">
        <f>IFERROR(Table2[[#This Row],[Protection_MA_PIN]]*$W239,)</f>
        <v>0</v>
      </c>
      <c r="AZ239" s="1">
        <v>3</v>
      </c>
      <c r="BA239" s="1">
        <v>5</v>
      </c>
      <c r="BB239" s="1">
        <v>4</v>
      </c>
      <c r="BC239" s="1">
        <v>5</v>
      </c>
      <c r="BD239" s="1">
        <v>2</v>
      </c>
      <c r="BE239" s="1">
        <v>4</v>
      </c>
      <c r="BF239" s="1">
        <v>4</v>
      </c>
      <c r="BG239" s="1">
        <v>4</v>
      </c>
      <c r="BH239" s="1">
        <v>4</v>
      </c>
      <c r="BI239" s="1">
        <v>4</v>
      </c>
      <c r="BJ239" s="1">
        <v>4</v>
      </c>
      <c r="BK239" s="1">
        <v>3</v>
      </c>
      <c r="BL239" s="1">
        <v>4</v>
      </c>
    </row>
    <row r="240" spans="1:64" x14ac:dyDescent="0.35">
      <c r="A240" t="s">
        <v>54</v>
      </c>
      <c r="B240" t="s">
        <v>709</v>
      </c>
      <c r="C240" t="s">
        <v>55</v>
      </c>
      <c r="D240" t="s">
        <v>312</v>
      </c>
      <c r="E240" t="s">
        <v>931</v>
      </c>
      <c r="F240" t="s">
        <v>313</v>
      </c>
      <c r="G240" t="s">
        <v>312</v>
      </c>
      <c r="H240" s="1">
        <v>143187.75</v>
      </c>
      <c r="I240" s="1">
        <v>78187</v>
      </c>
      <c r="J240" s="1">
        <v>108484</v>
      </c>
      <c r="K240" s="1">
        <v>57275</v>
      </c>
      <c r="L240" s="1">
        <v>62132.22411258638</v>
      </c>
      <c r="M240" s="1">
        <v>87501.116666666669</v>
      </c>
      <c r="N240" s="1">
        <v>83449</v>
      </c>
      <c r="O240" s="1">
        <v>180603.82699027611</v>
      </c>
      <c r="P240" s="1">
        <v>48484</v>
      </c>
      <c r="Q240" s="1">
        <v>152734</v>
      </c>
      <c r="R240" s="1">
        <v>153306.81395348837</v>
      </c>
      <c r="S240" s="1">
        <v>76417.799999999988</v>
      </c>
      <c r="T240" s="1">
        <v>100346</v>
      </c>
      <c r="U240" s="1">
        <v>190807</v>
      </c>
      <c r="V240" s="3">
        <f>_xlfn.XLOOKUP(Table2[[#This Row],[admin3Pcode]],'Inter-sector dataset'!F:F,'Inter-sector dataset'!Q:Q)</f>
        <v>0.62</v>
      </c>
      <c r="W240" s="3">
        <f>_xlfn.XLOOKUP(Table2[[#This Row],[admin3Pcode]],'Inter-sector dataset'!F:F,'Inter-sector dataset'!R:R)</f>
        <v>0</v>
      </c>
      <c r="X240" s="1">
        <f>IFERROR(Table2[[#This Row],[Health_PIN]]*$V240,)</f>
        <v>88776.404999999999</v>
      </c>
      <c r="Y240" s="1">
        <f>IFERROR(Table2[[#This Row],[CCCM_PIN]]*$V240,)</f>
        <v>48475.94</v>
      </c>
      <c r="Z240" s="1">
        <f>IFERROR(Table2[[#This Row],[ERL_PIN]]*$V240,)</f>
        <v>67260.08</v>
      </c>
      <c r="AA240" s="1">
        <f>IFERROR(Table2[[#This Row],[NFI_PIN]]*$V240,)</f>
        <v>35510.5</v>
      </c>
      <c r="AB240" s="1">
        <f>IFERROR(Table2[[#This Row],[Nutrition_PIN]]*$V240,)</f>
        <v>38521.978949803553</v>
      </c>
      <c r="AC240" s="1">
        <f>IFERROR(Table2[[#This Row],[Education_PIN]]*$V240,)</f>
        <v>54250.692333333332</v>
      </c>
      <c r="AD240" s="1">
        <f>IFERROR(Table2[[#This Row],[Shelter_PIN]]*$V240,)</f>
        <v>51738.38</v>
      </c>
      <c r="AE240" s="1">
        <f>IFERROR(Table2[[#This Row],[WASH_PIN]]*$V240,)</f>
        <v>111974.37273397119</v>
      </c>
      <c r="AF240" s="1">
        <f>IFERROR(Table2[[#This Row],[WASH_acute_PIN]]*$V240,)</f>
        <v>30060.079999999998</v>
      </c>
      <c r="AG240" s="1">
        <f>IFERROR(Table2[[#This Row],[Protection_PIN]]*$V240,)</f>
        <v>94695.08</v>
      </c>
      <c r="AH240" s="1">
        <f>IFERROR(Table2[[#This Row],[Food_PIN]]*$V240,)</f>
        <v>95050.224651162789</v>
      </c>
      <c r="AI240" s="1">
        <f>IFERROR(Table2[[#This Row],[Protection_CP_PIN]]*$V240,)</f>
        <v>47379.035999999993</v>
      </c>
      <c r="AJ240" s="1">
        <f>IFERROR(Table2[[#This Row],[Protection_GBV_PIN]]*$V240,)</f>
        <v>62214.52</v>
      </c>
      <c r="AK240" s="1">
        <f>IFERROR(Table2[[#This Row],[Protection_MA_PIN]]*$V240,)</f>
        <v>118300.34</v>
      </c>
      <c r="AL240" s="1">
        <f>IFERROR(Table2[[#This Row],[Health_PIN]]*$W240,)</f>
        <v>0</v>
      </c>
      <c r="AM240" s="1">
        <f>IFERROR(Table2[[#This Row],[CCCM_PIN]]*$W240,)</f>
        <v>0</v>
      </c>
      <c r="AN240" s="1">
        <f>IFERROR(Table2[[#This Row],[ERL_PIN]]*$W240,)</f>
        <v>0</v>
      </c>
      <c r="AO240" s="1">
        <f>IFERROR(Table2[[#This Row],[NFI_PIN]]*$W240,)</f>
        <v>0</v>
      </c>
      <c r="AP240" s="1">
        <f>IFERROR(Table2[[#This Row],[Nutrition_PIN]]*$W240,)</f>
        <v>0</v>
      </c>
      <c r="AQ240" s="1">
        <f>IFERROR(Table2[[#This Row],[Education_PIN]]*$W240,)</f>
        <v>0</v>
      </c>
      <c r="AR240" s="1">
        <f>IFERROR(Table2[[#This Row],[Shelter_PIN]]*$W240,)</f>
        <v>0</v>
      </c>
      <c r="AS240" s="1">
        <f>IFERROR(Table2[[#This Row],[WASH_PIN]]*$W240,)</f>
        <v>0</v>
      </c>
      <c r="AT240" s="1">
        <f>IFERROR(Table2[[#This Row],[WASH_acute_PIN]]*$W240,)</f>
        <v>0</v>
      </c>
      <c r="AU240" s="1">
        <f>IFERROR(Table2[[#This Row],[Protection_PIN]]*$W240,)</f>
        <v>0</v>
      </c>
      <c r="AV240" s="1">
        <f>IFERROR(Table2[[#This Row],[Food_PIN]]*$W240,)</f>
        <v>0</v>
      </c>
      <c r="AW240" s="1">
        <f>IFERROR(Table2[[#This Row],[Protection_CP_PIN]]*$W240,)</f>
        <v>0</v>
      </c>
      <c r="AX240" s="1">
        <f>IFERROR(Table2[[#This Row],[Protection_GBV_PIN]]*$W240,)</f>
        <v>0</v>
      </c>
      <c r="AY240" s="1">
        <f>IFERROR(Table2[[#This Row],[Protection_MA_PIN]]*$W240,)</f>
        <v>0</v>
      </c>
      <c r="AZ240" s="1">
        <v>4</v>
      </c>
      <c r="BA240" s="1">
        <v>4</v>
      </c>
      <c r="BB240" s="1">
        <v>4</v>
      </c>
      <c r="BC240" s="1">
        <v>3</v>
      </c>
      <c r="BD240" s="1">
        <v>3</v>
      </c>
      <c r="BE240" s="1">
        <v>4</v>
      </c>
      <c r="BF240" s="1">
        <v>4</v>
      </c>
      <c r="BG240" s="1">
        <v>4</v>
      </c>
      <c r="BH240" s="1">
        <v>5</v>
      </c>
      <c r="BI240" s="1">
        <v>4</v>
      </c>
      <c r="BJ240" s="1">
        <v>4</v>
      </c>
      <c r="BK240" s="1">
        <v>4</v>
      </c>
      <c r="BL240" s="1">
        <v>4</v>
      </c>
    </row>
    <row r="241" spans="1:64" x14ac:dyDescent="0.35">
      <c r="A241" t="s">
        <v>28</v>
      </c>
      <c r="B241" t="s">
        <v>761</v>
      </c>
      <c r="C241" t="s">
        <v>29</v>
      </c>
      <c r="D241" t="s">
        <v>28</v>
      </c>
      <c r="E241" t="s">
        <v>932</v>
      </c>
      <c r="F241" t="s">
        <v>151</v>
      </c>
      <c r="G241" t="s">
        <v>933</v>
      </c>
      <c r="H241" s="1">
        <v>145120.5</v>
      </c>
      <c r="I241" s="1" t="s">
        <v>665</v>
      </c>
      <c r="J241" s="1">
        <v>186298</v>
      </c>
      <c r="K241" s="1">
        <v>52608</v>
      </c>
      <c r="L241" s="1">
        <v>64948.489936646809</v>
      </c>
      <c r="M241" s="1">
        <v>14976.825629117746</v>
      </c>
      <c r="N241" s="1">
        <v>54732</v>
      </c>
      <c r="O241" s="1">
        <v>125680.0806055117</v>
      </c>
      <c r="P241" s="1">
        <v>71265</v>
      </c>
      <c r="Q241" s="1">
        <v>154795</v>
      </c>
      <c r="R241" s="1">
        <v>116307.86885245904</v>
      </c>
      <c r="S241" s="1">
        <v>60314.7</v>
      </c>
      <c r="T241" s="1">
        <v>78188</v>
      </c>
      <c r="U241" s="1">
        <v>42097</v>
      </c>
      <c r="V241" s="3">
        <f>_xlfn.XLOOKUP(Table2[[#This Row],[admin3Pcode]],'Inter-sector dataset'!F:F,'Inter-sector dataset'!Q:Q)</f>
        <v>0</v>
      </c>
      <c r="W241" s="3">
        <f>_xlfn.XLOOKUP(Table2[[#This Row],[admin3Pcode]],'Inter-sector dataset'!F:F,'Inter-sector dataset'!R:R)</f>
        <v>0</v>
      </c>
      <c r="X241" s="1">
        <f>IFERROR(Table2[[#This Row],[Health_PIN]]*$V241,)</f>
        <v>0</v>
      </c>
      <c r="Y241" s="1">
        <f>IFERROR(Table2[[#This Row],[CCCM_PIN]]*$V241,)</f>
        <v>0</v>
      </c>
      <c r="Z241" s="1">
        <f>IFERROR(Table2[[#This Row],[ERL_PIN]]*$V241,)</f>
        <v>0</v>
      </c>
      <c r="AA241" s="1">
        <f>IFERROR(Table2[[#This Row],[NFI_PIN]]*$V241,)</f>
        <v>0</v>
      </c>
      <c r="AB241" s="1">
        <f>IFERROR(Table2[[#This Row],[Nutrition_PIN]]*$V241,)</f>
        <v>0</v>
      </c>
      <c r="AC241" s="1">
        <f>IFERROR(Table2[[#This Row],[Education_PIN]]*$V241,)</f>
        <v>0</v>
      </c>
      <c r="AD241" s="1">
        <f>IFERROR(Table2[[#This Row],[Shelter_PIN]]*$V241,)</f>
        <v>0</v>
      </c>
      <c r="AE241" s="1">
        <f>IFERROR(Table2[[#This Row],[WASH_PIN]]*$V241,)</f>
        <v>0</v>
      </c>
      <c r="AF241" s="1">
        <f>IFERROR(Table2[[#This Row],[WASH_acute_PIN]]*$V241,)</f>
        <v>0</v>
      </c>
      <c r="AG241" s="1">
        <f>IFERROR(Table2[[#This Row],[Protection_PIN]]*$V241,)</f>
        <v>0</v>
      </c>
      <c r="AH241" s="1">
        <f>IFERROR(Table2[[#This Row],[Food_PIN]]*$V241,)</f>
        <v>0</v>
      </c>
      <c r="AI241" s="1">
        <f>IFERROR(Table2[[#This Row],[Protection_CP_PIN]]*$V241,)</f>
        <v>0</v>
      </c>
      <c r="AJ241" s="1">
        <f>IFERROR(Table2[[#This Row],[Protection_GBV_PIN]]*$V241,)</f>
        <v>0</v>
      </c>
      <c r="AK241" s="1">
        <f>IFERROR(Table2[[#This Row],[Protection_MA_PIN]]*$V241,)</f>
        <v>0</v>
      </c>
      <c r="AL241" s="1">
        <f>IFERROR(Table2[[#This Row],[Health_PIN]]*$W241,)</f>
        <v>0</v>
      </c>
      <c r="AM241" s="1">
        <f>IFERROR(Table2[[#This Row],[CCCM_PIN]]*$W241,)</f>
        <v>0</v>
      </c>
      <c r="AN241" s="1">
        <f>IFERROR(Table2[[#This Row],[ERL_PIN]]*$W241,)</f>
        <v>0</v>
      </c>
      <c r="AO241" s="1">
        <f>IFERROR(Table2[[#This Row],[NFI_PIN]]*$W241,)</f>
        <v>0</v>
      </c>
      <c r="AP241" s="1">
        <f>IFERROR(Table2[[#This Row],[Nutrition_PIN]]*$W241,)</f>
        <v>0</v>
      </c>
      <c r="AQ241" s="1">
        <f>IFERROR(Table2[[#This Row],[Education_PIN]]*$W241,)</f>
        <v>0</v>
      </c>
      <c r="AR241" s="1">
        <f>IFERROR(Table2[[#This Row],[Shelter_PIN]]*$W241,)</f>
        <v>0</v>
      </c>
      <c r="AS241" s="1">
        <f>IFERROR(Table2[[#This Row],[WASH_PIN]]*$W241,)</f>
        <v>0</v>
      </c>
      <c r="AT241" s="1">
        <f>IFERROR(Table2[[#This Row],[WASH_acute_PIN]]*$W241,)</f>
        <v>0</v>
      </c>
      <c r="AU241" s="1">
        <f>IFERROR(Table2[[#This Row],[Protection_PIN]]*$W241,)</f>
        <v>0</v>
      </c>
      <c r="AV241" s="1">
        <f>IFERROR(Table2[[#This Row],[Food_PIN]]*$W241,)</f>
        <v>0</v>
      </c>
      <c r="AW241" s="1">
        <f>IFERROR(Table2[[#This Row],[Protection_CP_PIN]]*$W241,)</f>
        <v>0</v>
      </c>
      <c r="AX241" s="1">
        <f>IFERROR(Table2[[#This Row],[Protection_GBV_PIN]]*$W241,)</f>
        <v>0</v>
      </c>
      <c r="AY241" s="1">
        <f>IFERROR(Table2[[#This Row],[Protection_MA_PIN]]*$W241,)</f>
        <v>0</v>
      </c>
      <c r="AZ241" s="1">
        <v>3</v>
      </c>
      <c r="BA241" s="1">
        <v>4</v>
      </c>
      <c r="BB241" s="1">
        <v>4</v>
      </c>
      <c r="BC241" s="1">
        <v>3</v>
      </c>
      <c r="BD241" s="1">
        <v>3</v>
      </c>
      <c r="BE241" s="1">
        <v>4</v>
      </c>
      <c r="BF241" s="1">
        <v>4</v>
      </c>
      <c r="BG241" s="1">
        <v>4</v>
      </c>
      <c r="BH241" s="1">
        <v>4</v>
      </c>
      <c r="BI241" s="1">
        <v>4</v>
      </c>
      <c r="BJ241" s="1">
        <v>4</v>
      </c>
      <c r="BK241" s="1" t="s">
        <v>665</v>
      </c>
      <c r="BL241" s="1">
        <v>4</v>
      </c>
    </row>
    <row r="242" spans="1:64" x14ac:dyDescent="0.35">
      <c r="A242" t="s">
        <v>54</v>
      </c>
      <c r="B242" t="s">
        <v>709</v>
      </c>
      <c r="C242" t="s">
        <v>55</v>
      </c>
      <c r="D242" t="s">
        <v>112</v>
      </c>
      <c r="E242" t="s">
        <v>934</v>
      </c>
      <c r="F242" t="s">
        <v>445</v>
      </c>
      <c r="G242" t="s">
        <v>112</v>
      </c>
      <c r="H242" s="1">
        <v>151588.5</v>
      </c>
      <c r="I242" s="1">
        <v>38242</v>
      </c>
      <c r="J242" s="1">
        <v>71394</v>
      </c>
      <c r="K242" s="1">
        <v>60536</v>
      </c>
      <c r="L242" s="1">
        <v>67776.564279700106</v>
      </c>
      <c r="M242" s="1">
        <v>85294.95</v>
      </c>
      <c r="N242" s="1">
        <v>60144</v>
      </c>
      <c r="O242" s="1">
        <v>184295.78578026767</v>
      </c>
      <c r="P242" s="1">
        <v>52434</v>
      </c>
      <c r="Q242" s="1">
        <v>161694</v>
      </c>
      <c r="R242" s="1">
        <v>137515.70338983051</v>
      </c>
      <c r="S242" s="1">
        <v>81435.899999999994</v>
      </c>
      <c r="T242" s="1">
        <v>88853</v>
      </c>
      <c r="U242" s="1">
        <v>101294</v>
      </c>
      <c r="V242" s="3">
        <f>_xlfn.XLOOKUP(Table2[[#This Row],[admin3Pcode]],'Inter-sector dataset'!F:F,'Inter-sector dataset'!Q:Q)</f>
        <v>0.68</v>
      </c>
      <c r="W242" s="3">
        <f>_xlfn.XLOOKUP(Table2[[#This Row],[admin3Pcode]],'Inter-sector dataset'!F:F,'Inter-sector dataset'!R:R)</f>
        <v>0</v>
      </c>
      <c r="X242" s="1">
        <f>IFERROR(Table2[[#This Row],[Health_PIN]]*$V242,)</f>
        <v>103080.18000000001</v>
      </c>
      <c r="Y242" s="1">
        <f>IFERROR(Table2[[#This Row],[CCCM_PIN]]*$V242,)</f>
        <v>26004.560000000001</v>
      </c>
      <c r="Z242" s="1">
        <f>IFERROR(Table2[[#This Row],[ERL_PIN]]*$V242,)</f>
        <v>48547.920000000006</v>
      </c>
      <c r="AA242" s="1">
        <f>IFERROR(Table2[[#This Row],[NFI_PIN]]*$V242,)</f>
        <v>41164.480000000003</v>
      </c>
      <c r="AB242" s="1">
        <f>IFERROR(Table2[[#This Row],[Nutrition_PIN]]*$V242,)</f>
        <v>46088.063710196075</v>
      </c>
      <c r="AC242" s="1">
        <f>IFERROR(Table2[[#This Row],[Education_PIN]]*$V242,)</f>
        <v>58000.565999999999</v>
      </c>
      <c r="AD242" s="1">
        <f>IFERROR(Table2[[#This Row],[Shelter_PIN]]*$V242,)</f>
        <v>40897.920000000006</v>
      </c>
      <c r="AE242" s="1">
        <f>IFERROR(Table2[[#This Row],[WASH_PIN]]*$V242,)</f>
        <v>125321.13433058203</v>
      </c>
      <c r="AF242" s="1">
        <f>IFERROR(Table2[[#This Row],[WASH_acute_PIN]]*$V242,)</f>
        <v>35655.120000000003</v>
      </c>
      <c r="AG242" s="1">
        <f>IFERROR(Table2[[#This Row],[Protection_PIN]]*$V242,)</f>
        <v>109951.92000000001</v>
      </c>
      <c r="AH242" s="1">
        <f>IFERROR(Table2[[#This Row],[Food_PIN]]*$V242,)</f>
        <v>93510.678305084759</v>
      </c>
      <c r="AI242" s="1">
        <f>IFERROR(Table2[[#This Row],[Protection_CP_PIN]]*$V242,)</f>
        <v>55376.411999999997</v>
      </c>
      <c r="AJ242" s="1">
        <f>IFERROR(Table2[[#This Row],[Protection_GBV_PIN]]*$V242,)</f>
        <v>60420.04</v>
      </c>
      <c r="AK242" s="1">
        <f>IFERROR(Table2[[#This Row],[Protection_MA_PIN]]*$V242,)</f>
        <v>68879.92</v>
      </c>
      <c r="AL242" s="1">
        <f>IFERROR(Table2[[#This Row],[Health_PIN]]*$W242,)</f>
        <v>0</v>
      </c>
      <c r="AM242" s="1">
        <f>IFERROR(Table2[[#This Row],[CCCM_PIN]]*$W242,)</f>
        <v>0</v>
      </c>
      <c r="AN242" s="1">
        <f>IFERROR(Table2[[#This Row],[ERL_PIN]]*$W242,)</f>
        <v>0</v>
      </c>
      <c r="AO242" s="1">
        <f>IFERROR(Table2[[#This Row],[NFI_PIN]]*$W242,)</f>
        <v>0</v>
      </c>
      <c r="AP242" s="1">
        <f>IFERROR(Table2[[#This Row],[Nutrition_PIN]]*$W242,)</f>
        <v>0</v>
      </c>
      <c r="AQ242" s="1">
        <f>IFERROR(Table2[[#This Row],[Education_PIN]]*$W242,)</f>
        <v>0</v>
      </c>
      <c r="AR242" s="1">
        <f>IFERROR(Table2[[#This Row],[Shelter_PIN]]*$W242,)</f>
        <v>0</v>
      </c>
      <c r="AS242" s="1">
        <f>IFERROR(Table2[[#This Row],[WASH_PIN]]*$W242,)</f>
        <v>0</v>
      </c>
      <c r="AT242" s="1">
        <f>IFERROR(Table2[[#This Row],[WASH_acute_PIN]]*$W242,)</f>
        <v>0</v>
      </c>
      <c r="AU242" s="1">
        <f>IFERROR(Table2[[#This Row],[Protection_PIN]]*$W242,)</f>
        <v>0</v>
      </c>
      <c r="AV242" s="1">
        <f>IFERROR(Table2[[#This Row],[Food_PIN]]*$W242,)</f>
        <v>0</v>
      </c>
      <c r="AW242" s="1">
        <f>IFERROR(Table2[[#This Row],[Protection_CP_PIN]]*$W242,)</f>
        <v>0</v>
      </c>
      <c r="AX242" s="1">
        <f>IFERROR(Table2[[#This Row],[Protection_GBV_PIN]]*$W242,)</f>
        <v>0</v>
      </c>
      <c r="AY242" s="1">
        <f>IFERROR(Table2[[#This Row],[Protection_MA_PIN]]*$W242,)</f>
        <v>0</v>
      </c>
      <c r="AZ242" s="1">
        <v>3</v>
      </c>
      <c r="BA242" s="1">
        <v>4</v>
      </c>
      <c r="BB242" s="1">
        <v>4</v>
      </c>
      <c r="BC242" s="1">
        <v>3</v>
      </c>
      <c r="BD242" s="1">
        <v>2</v>
      </c>
      <c r="BE242" s="1">
        <v>4</v>
      </c>
      <c r="BF242" s="1">
        <v>4</v>
      </c>
      <c r="BG242" s="1">
        <v>4</v>
      </c>
      <c r="BH242" s="1">
        <v>4</v>
      </c>
      <c r="BI242" s="1">
        <v>4</v>
      </c>
      <c r="BJ242" s="1">
        <v>4</v>
      </c>
      <c r="BK242" s="1">
        <v>4</v>
      </c>
      <c r="BL242" s="1">
        <v>4</v>
      </c>
    </row>
    <row r="243" spans="1:64" x14ac:dyDescent="0.35">
      <c r="A243" t="s">
        <v>104</v>
      </c>
      <c r="B243" t="s">
        <v>677</v>
      </c>
      <c r="C243" t="s">
        <v>105</v>
      </c>
      <c r="D243" t="s">
        <v>365</v>
      </c>
      <c r="E243" t="s">
        <v>935</v>
      </c>
      <c r="F243" t="s">
        <v>366</v>
      </c>
      <c r="G243" t="s">
        <v>365</v>
      </c>
      <c r="H243" s="1">
        <v>102703</v>
      </c>
      <c r="I243" s="1" t="s">
        <v>665</v>
      </c>
      <c r="J243" s="1">
        <v>169288</v>
      </c>
      <c r="K243" s="1">
        <v>61622</v>
      </c>
      <c r="L243" s="1">
        <v>49730.679887227474</v>
      </c>
      <c r="M243" s="1">
        <v>70470.233333333337</v>
      </c>
      <c r="N243" s="1">
        <v>44697</v>
      </c>
      <c r="O243" s="1">
        <v>144760.28315271725</v>
      </c>
      <c r="P243" s="1">
        <v>50015</v>
      </c>
      <c r="Q243" s="1">
        <v>164325</v>
      </c>
      <c r="R243" s="1">
        <v>121531.88333333333</v>
      </c>
      <c r="S243" s="1">
        <v>56850.899999999994</v>
      </c>
      <c r="T243" s="1">
        <v>90859</v>
      </c>
      <c r="U243" s="1">
        <v>205406</v>
      </c>
      <c r="V243" s="3">
        <f>_xlfn.XLOOKUP(Table2[[#This Row],[admin3Pcode]],'Inter-sector dataset'!F:F,'Inter-sector dataset'!Q:Q)</f>
        <v>0</v>
      </c>
      <c r="W243" s="3">
        <f>_xlfn.XLOOKUP(Table2[[#This Row],[admin3Pcode]],'Inter-sector dataset'!F:F,'Inter-sector dataset'!R:R)</f>
        <v>0</v>
      </c>
      <c r="X243" s="1">
        <f>IFERROR(Table2[[#This Row],[Health_PIN]]*$V243,)</f>
        <v>0</v>
      </c>
      <c r="Y243" s="1">
        <f>IFERROR(Table2[[#This Row],[CCCM_PIN]]*$V243,)</f>
        <v>0</v>
      </c>
      <c r="Z243" s="1">
        <f>IFERROR(Table2[[#This Row],[ERL_PIN]]*$V243,)</f>
        <v>0</v>
      </c>
      <c r="AA243" s="1">
        <f>IFERROR(Table2[[#This Row],[NFI_PIN]]*$V243,)</f>
        <v>0</v>
      </c>
      <c r="AB243" s="1">
        <f>IFERROR(Table2[[#This Row],[Nutrition_PIN]]*$V243,)</f>
        <v>0</v>
      </c>
      <c r="AC243" s="1">
        <f>IFERROR(Table2[[#This Row],[Education_PIN]]*$V243,)</f>
        <v>0</v>
      </c>
      <c r="AD243" s="1">
        <f>IFERROR(Table2[[#This Row],[Shelter_PIN]]*$V243,)</f>
        <v>0</v>
      </c>
      <c r="AE243" s="1">
        <f>IFERROR(Table2[[#This Row],[WASH_PIN]]*$V243,)</f>
        <v>0</v>
      </c>
      <c r="AF243" s="1">
        <f>IFERROR(Table2[[#This Row],[WASH_acute_PIN]]*$V243,)</f>
        <v>0</v>
      </c>
      <c r="AG243" s="1">
        <f>IFERROR(Table2[[#This Row],[Protection_PIN]]*$V243,)</f>
        <v>0</v>
      </c>
      <c r="AH243" s="1">
        <f>IFERROR(Table2[[#This Row],[Food_PIN]]*$V243,)</f>
        <v>0</v>
      </c>
      <c r="AI243" s="1">
        <f>IFERROR(Table2[[#This Row],[Protection_CP_PIN]]*$V243,)</f>
        <v>0</v>
      </c>
      <c r="AJ243" s="1">
        <f>IFERROR(Table2[[#This Row],[Protection_GBV_PIN]]*$V243,)</f>
        <v>0</v>
      </c>
      <c r="AK243" s="1">
        <f>IFERROR(Table2[[#This Row],[Protection_MA_PIN]]*$V243,)</f>
        <v>0</v>
      </c>
      <c r="AL243" s="1">
        <f>IFERROR(Table2[[#This Row],[Health_PIN]]*$W243,)</f>
        <v>0</v>
      </c>
      <c r="AM243" s="1">
        <f>IFERROR(Table2[[#This Row],[CCCM_PIN]]*$W243,)</f>
        <v>0</v>
      </c>
      <c r="AN243" s="1">
        <f>IFERROR(Table2[[#This Row],[ERL_PIN]]*$W243,)</f>
        <v>0</v>
      </c>
      <c r="AO243" s="1">
        <f>IFERROR(Table2[[#This Row],[NFI_PIN]]*$W243,)</f>
        <v>0</v>
      </c>
      <c r="AP243" s="1">
        <f>IFERROR(Table2[[#This Row],[Nutrition_PIN]]*$W243,)</f>
        <v>0</v>
      </c>
      <c r="AQ243" s="1">
        <f>IFERROR(Table2[[#This Row],[Education_PIN]]*$W243,)</f>
        <v>0</v>
      </c>
      <c r="AR243" s="1">
        <f>IFERROR(Table2[[#This Row],[Shelter_PIN]]*$W243,)</f>
        <v>0</v>
      </c>
      <c r="AS243" s="1">
        <f>IFERROR(Table2[[#This Row],[WASH_PIN]]*$W243,)</f>
        <v>0</v>
      </c>
      <c r="AT243" s="1">
        <f>IFERROR(Table2[[#This Row],[WASH_acute_PIN]]*$W243,)</f>
        <v>0</v>
      </c>
      <c r="AU243" s="1">
        <f>IFERROR(Table2[[#This Row],[Protection_PIN]]*$W243,)</f>
        <v>0</v>
      </c>
      <c r="AV243" s="1">
        <f>IFERROR(Table2[[#This Row],[Food_PIN]]*$W243,)</f>
        <v>0</v>
      </c>
      <c r="AW243" s="1">
        <f>IFERROR(Table2[[#This Row],[Protection_CP_PIN]]*$W243,)</f>
        <v>0</v>
      </c>
      <c r="AX243" s="1">
        <f>IFERROR(Table2[[#This Row],[Protection_GBV_PIN]]*$W243,)</f>
        <v>0</v>
      </c>
      <c r="AY243" s="1">
        <f>IFERROR(Table2[[#This Row],[Protection_MA_PIN]]*$W243,)</f>
        <v>0</v>
      </c>
      <c r="AZ243" s="1">
        <v>3</v>
      </c>
      <c r="BA243" s="1">
        <v>3</v>
      </c>
      <c r="BB243" s="1">
        <v>4</v>
      </c>
      <c r="BC243" s="1">
        <v>3</v>
      </c>
      <c r="BD243" s="1">
        <v>3</v>
      </c>
      <c r="BE243" s="1">
        <v>3</v>
      </c>
      <c r="BF243" s="1">
        <v>4</v>
      </c>
      <c r="BG243" s="1">
        <v>4</v>
      </c>
      <c r="BH243" s="1">
        <v>4</v>
      </c>
      <c r="BI243" s="1">
        <v>4</v>
      </c>
      <c r="BJ243" s="1">
        <v>4</v>
      </c>
      <c r="BK243" s="1" t="s">
        <v>665</v>
      </c>
      <c r="BL243" s="1">
        <v>3</v>
      </c>
    </row>
    <row r="244" spans="1:64" x14ac:dyDescent="0.35">
      <c r="A244" t="s">
        <v>168</v>
      </c>
      <c r="B244" t="s">
        <v>681</v>
      </c>
      <c r="C244" t="s">
        <v>169</v>
      </c>
      <c r="D244" t="s">
        <v>233</v>
      </c>
      <c r="E244" t="s">
        <v>936</v>
      </c>
      <c r="F244" t="s">
        <v>486</v>
      </c>
      <c r="G244" t="s">
        <v>233</v>
      </c>
      <c r="H244" s="1">
        <v>119760</v>
      </c>
      <c r="I244" s="1" t="s">
        <v>665</v>
      </c>
      <c r="J244" s="1">
        <v>217490</v>
      </c>
      <c r="K244" s="1">
        <v>36153</v>
      </c>
      <c r="L244" s="1">
        <v>57584.948346614081</v>
      </c>
      <c r="M244" s="1">
        <v>17852.291862083341</v>
      </c>
      <c r="N244" s="1">
        <v>36153</v>
      </c>
      <c r="O244" s="1">
        <v>17070.77525763604</v>
      </c>
      <c r="P244" s="1">
        <v>5075</v>
      </c>
      <c r="Q244" s="1">
        <v>191616</v>
      </c>
      <c r="R244" s="1">
        <v>196529.23076923075</v>
      </c>
      <c r="S244" s="1">
        <v>62817.3</v>
      </c>
      <c r="T244" s="1">
        <v>103003</v>
      </c>
      <c r="U244" s="1">
        <v>202633</v>
      </c>
      <c r="V244" s="3">
        <f>_xlfn.XLOOKUP(Table2[[#This Row],[admin3Pcode]],'Inter-sector dataset'!F:F,'Inter-sector dataset'!Q:Q)</f>
        <v>0</v>
      </c>
      <c r="W244" s="3">
        <f>_xlfn.XLOOKUP(Table2[[#This Row],[admin3Pcode]],'Inter-sector dataset'!F:F,'Inter-sector dataset'!R:R)</f>
        <v>0</v>
      </c>
      <c r="X244" s="1">
        <f>IFERROR(Table2[[#This Row],[Health_PIN]]*$V244,)</f>
        <v>0</v>
      </c>
      <c r="Y244" s="1">
        <f>IFERROR(Table2[[#This Row],[CCCM_PIN]]*$V244,)</f>
        <v>0</v>
      </c>
      <c r="Z244" s="1">
        <f>IFERROR(Table2[[#This Row],[ERL_PIN]]*$V244,)</f>
        <v>0</v>
      </c>
      <c r="AA244" s="1">
        <f>IFERROR(Table2[[#This Row],[NFI_PIN]]*$V244,)</f>
        <v>0</v>
      </c>
      <c r="AB244" s="1">
        <f>IFERROR(Table2[[#This Row],[Nutrition_PIN]]*$V244,)</f>
        <v>0</v>
      </c>
      <c r="AC244" s="1">
        <f>IFERROR(Table2[[#This Row],[Education_PIN]]*$V244,)</f>
        <v>0</v>
      </c>
      <c r="AD244" s="1">
        <f>IFERROR(Table2[[#This Row],[Shelter_PIN]]*$V244,)</f>
        <v>0</v>
      </c>
      <c r="AE244" s="1">
        <f>IFERROR(Table2[[#This Row],[WASH_PIN]]*$V244,)</f>
        <v>0</v>
      </c>
      <c r="AF244" s="1">
        <f>IFERROR(Table2[[#This Row],[WASH_acute_PIN]]*$V244,)</f>
        <v>0</v>
      </c>
      <c r="AG244" s="1">
        <f>IFERROR(Table2[[#This Row],[Protection_PIN]]*$V244,)</f>
        <v>0</v>
      </c>
      <c r="AH244" s="1">
        <f>IFERROR(Table2[[#This Row],[Food_PIN]]*$V244,)</f>
        <v>0</v>
      </c>
      <c r="AI244" s="1">
        <f>IFERROR(Table2[[#This Row],[Protection_CP_PIN]]*$V244,)</f>
        <v>0</v>
      </c>
      <c r="AJ244" s="1">
        <f>IFERROR(Table2[[#This Row],[Protection_GBV_PIN]]*$V244,)</f>
        <v>0</v>
      </c>
      <c r="AK244" s="1">
        <f>IFERROR(Table2[[#This Row],[Protection_MA_PIN]]*$V244,)</f>
        <v>0</v>
      </c>
      <c r="AL244" s="1">
        <f>IFERROR(Table2[[#This Row],[Health_PIN]]*$W244,)</f>
        <v>0</v>
      </c>
      <c r="AM244" s="1">
        <f>IFERROR(Table2[[#This Row],[CCCM_PIN]]*$W244,)</f>
        <v>0</v>
      </c>
      <c r="AN244" s="1">
        <f>IFERROR(Table2[[#This Row],[ERL_PIN]]*$W244,)</f>
        <v>0</v>
      </c>
      <c r="AO244" s="1">
        <f>IFERROR(Table2[[#This Row],[NFI_PIN]]*$W244,)</f>
        <v>0</v>
      </c>
      <c r="AP244" s="1">
        <f>IFERROR(Table2[[#This Row],[Nutrition_PIN]]*$W244,)</f>
        <v>0</v>
      </c>
      <c r="AQ244" s="1">
        <f>IFERROR(Table2[[#This Row],[Education_PIN]]*$W244,)</f>
        <v>0</v>
      </c>
      <c r="AR244" s="1">
        <f>IFERROR(Table2[[#This Row],[Shelter_PIN]]*$W244,)</f>
        <v>0</v>
      </c>
      <c r="AS244" s="1">
        <f>IFERROR(Table2[[#This Row],[WASH_PIN]]*$W244,)</f>
        <v>0</v>
      </c>
      <c r="AT244" s="1">
        <f>IFERROR(Table2[[#This Row],[WASH_acute_PIN]]*$W244,)</f>
        <v>0</v>
      </c>
      <c r="AU244" s="1">
        <f>IFERROR(Table2[[#This Row],[Protection_PIN]]*$W244,)</f>
        <v>0</v>
      </c>
      <c r="AV244" s="1">
        <f>IFERROR(Table2[[#This Row],[Food_PIN]]*$W244,)</f>
        <v>0</v>
      </c>
      <c r="AW244" s="1">
        <f>IFERROR(Table2[[#This Row],[Protection_CP_PIN]]*$W244,)</f>
        <v>0</v>
      </c>
      <c r="AX244" s="1">
        <f>IFERROR(Table2[[#This Row],[Protection_GBV_PIN]]*$W244,)</f>
        <v>0</v>
      </c>
      <c r="AY244" s="1">
        <f>IFERROR(Table2[[#This Row],[Protection_MA_PIN]]*$W244,)</f>
        <v>0</v>
      </c>
      <c r="AZ244" s="1">
        <v>2</v>
      </c>
      <c r="BA244" s="1">
        <v>4</v>
      </c>
      <c r="BB244" s="1">
        <v>4</v>
      </c>
      <c r="BC244" s="1">
        <v>2</v>
      </c>
      <c r="BD244" s="1">
        <v>3</v>
      </c>
      <c r="BE244" s="1">
        <v>3</v>
      </c>
      <c r="BF244" s="1">
        <v>4</v>
      </c>
      <c r="BG244" s="1">
        <v>4</v>
      </c>
      <c r="BH244" s="1">
        <v>4</v>
      </c>
      <c r="BI244" s="1">
        <v>4</v>
      </c>
      <c r="BJ244" s="1">
        <v>4</v>
      </c>
      <c r="BK244" s="1" t="s">
        <v>665</v>
      </c>
      <c r="BL244" s="1">
        <v>2</v>
      </c>
    </row>
    <row r="245" spans="1:64" x14ac:dyDescent="0.35">
      <c r="A245" t="s">
        <v>104</v>
      </c>
      <c r="B245" t="s">
        <v>677</v>
      </c>
      <c r="C245" t="s">
        <v>105</v>
      </c>
      <c r="D245" t="s">
        <v>392</v>
      </c>
      <c r="E245" t="s">
        <v>937</v>
      </c>
      <c r="F245" t="s">
        <v>394</v>
      </c>
      <c r="G245" t="s">
        <v>392</v>
      </c>
      <c r="H245" s="1">
        <v>196299.75</v>
      </c>
      <c r="I245" s="1" t="s">
        <v>665</v>
      </c>
      <c r="J245" s="1">
        <v>225364</v>
      </c>
      <c r="K245" s="1">
        <v>77908</v>
      </c>
      <c r="L245" s="1">
        <v>67695.116892340564</v>
      </c>
      <c r="M245" s="1">
        <v>94345.4</v>
      </c>
      <c r="N245" s="1">
        <v>74630</v>
      </c>
      <c r="O245" s="1">
        <v>213316.57058441333</v>
      </c>
      <c r="P245" s="1">
        <v>37415</v>
      </c>
      <c r="Q245" s="1">
        <v>209386</v>
      </c>
      <c r="R245" s="1">
        <v>129057.28571428572</v>
      </c>
      <c r="S245" s="1">
        <v>90052.800000000003</v>
      </c>
      <c r="T245" s="1">
        <v>128705</v>
      </c>
      <c r="U245" s="1">
        <v>49366</v>
      </c>
      <c r="V245" s="3">
        <f>_xlfn.XLOOKUP(Table2[[#This Row],[admin3Pcode]],'Inter-sector dataset'!F:F,'Inter-sector dataset'!Q:Q)</f>
        <v>0</v>
      </c>
      <c r="W245" s="3">
        <f>_xlfn.XLOOKUP(Table2[[#This Row],[admin3Pcode]],'Inter-sector dataset'!F:F,'Inter-sector dataset'!R:R)</f>
        <v>0</v>
      </c>
      <c r="X245" s="1">
        <f>IFERROR(Table2[[#This Row],[Health_PIN]]*$V245,)</f>
        <v>0</v>
      </c>
      <c r="Y245" s="1">
        <f>IFERROR(Table2[[#This Row],[CCCM_PIN]]*$V245,)</f>
        <v>0</v>
      </c>
      <c r="Z245" s="1">
        <f>IFERROR(Table2[[#This Row],[ERL_PIN]]*$V245,)</f>
        <v>0</v>
      </c>
      <c r="AA245" s="1">
        <f>IFERROR(Table2[[#This Row],[NFI_PIN]]*$V245,)</f>
        <v>0</v>
      </c>
      <c r="AB245" s="1">
        <f>IFERROR(Table2[[#This Row],[Nutrition_PIN]]*$V245,)</f>
        <v>0</v>
      </c>
      <c r="AC245" s="1">
        <f>IFERROR(Table2[[#This Row],[Education_PIN]]*$V245,)</f>
        <v>0</v>
      </c>
      <c r="AD245" s="1">
        <f>IFERROR(Table2[[#This Row],[Shelter_PIN]]*$V245,)</f>
        <v>0</v>
      </c>
      <c r="AE245" s="1">
        <f>IFERROR(Table2[[#This Row],[WASH_PIN]]*$V245,)</f>
        <v>0</v>
      </c>
      <c r="AF245" s="1">
        <f>IFERROR(Table2[[#This Row],[WASH_acute_PIN]]*$V245,)</f>
        <v>0</v>
      </c>
      <c r="AG245" s="1">
        <f>IFERROR(Table2[[#This Row],[Protection_PIN]]*$V245,)</f>
        <v>0</v>
      </c>
      <c r="AH245" s="1">
        <f>IFERROR(Table2[[#This Row],[Food_PIN]]*$V245,)</f>
        <v>0</v>
      </c>
      <c r="AI245" s="1">
        <f>IFERROR(Table2[[#This Row],[Protection_CP_PIN]]*$V245,)</f>
        <v>0</v>
      </c>
      <c r="AJ245" s="1">
        <f>IFERROR(Table2[[#This Row],[Protection_GBV_PIN]]*$V245,)</f>
        <v>0</v>
      </c>
      <c r="AK245" s="1">
        <f>IFERROR(Table2[[#This Row],[Protection_MA_PIN]]*$V245,)</f>
        <v>0</v>
      </c>
      <c r="AL245" s="1">
        <f>IFERROR(Table2[[#This Row],[Health_PIN]]*$W245,)</f>
        <v>0</v>
      </c>
      <c r="AM245" s="1">
        <f>IFERROR(Table2[[#This Row],[CCCM_PIN]]*$W245,)</f>
        <v>0</v>
      </c>
      <c r="AN245" s="1">
        <f>IFERROR(Table2[[#This Row],[ERL_PIN]]*$W245,)</f>
        <v>0</v>
      </c>
      <c r="AO245" s="1">
        <f>IFERROR(Table2[[#This Row],[NFI_PIN]]*$W245,)</f>
        <v>0</v>
      </c>
      <c r="AP245" s="1">
        <f>IFERROR(Table2[[#This Row],[Nutrition_PIN]]*$W245,)</f>
        <v>0</v>
      </c>
      <c r="AQ245" s="1">
        <f>IFERROR(Table2[[#This Row],[Education_PIN]]*$W245,)</f>
        <v>0</v>
      </c>
      <c r="AR245" s="1">
        <f>IFERROR(Table2[[#This Row],[Shelter_PIN]]*$W245,)</f>
        <v>0</v>
      </c>
      <c r="AS245" s="1">
        <f>IFERROR(Table2[[#This Row],[WASH_PIN]]*$W245,)</f>
        <v>0</v>
      </c>
      <c r="AT245" s="1">
        <f>IFERROR(Table2[[#This Row],[WASH_acute_PIN]]*$W245,)</f>
        <v>0</v>
      </c>
      <c r="AU245" s="1">
        <f>IFERROR(Table2[[#This Row],[Protection_PIN]]*$W245,)</f>
        <v>0</v>
      </c>
      <c r="AV245" s="1">
        <f>IFERROR(Table2[[#This Row],[Food_PIN]]*$W245,)</f>
        <v>0</v>
      </c>
      <c r="AW245" s="1">
        <f>IFERROR(Table2[[#This Row],[Protection_CP_PIN]]*$W245,)</f>
        <v>0</v>
      </c>
      <c r="AX245" s="1">
        <f>IFERROR(Table2[[#This Row],[Protection_GBV_PIN]]*$W245,)</f>
        <v>0</v>
      </c>
      <c r="AY245" s="1">
        <f>IFERROR(Table2[[#This Row],[Protection_MA_PIN]]*$W245,)</f>
        <v>0</v>
      </c>
      <c r="AZ245" s="1">
        <v>3</v>
      </c>
      <c r="BA245" s="1">
        <v>3</v>
      </c>
      <c r="BB245" s="1">
        <v>4</v>
      </c>
      <c r="BC245" s="1">
        <v>3</v>
      </c>
      <c r="BD245" s="1">
        <v>3</v>
      </c>
      <c r="BE245" s="1">
        <v>4</v>
      </c>
      <c r="BF245" s="1">
        <v>4</v>
      </c>
      <c r="BG245" s="1">
        <v>4</v>
      </c>
      <c r="BH245" s="1">
        <v>4</v>
      </c>
      <c r="BI245" s="1">
        <v>4</v>
      </c>
      <c r="BJ245" s="1">
        <v>3</v>
      </c>
      <c r="BK245" s="1" t="s">
        <v>665</v>
      </c>
      <c r="BL245" s="1">
        <v>3</v>
      </c>
    </row>
    <row r="246" spans="1:64" x14ac:dyDescent="0.35">
      <c r="A246" t="s">
        <v>184</v>
      </c>
      <c r="B246" t="s">
        <v>730</v>
      </c>
      <c r="C246" t="s">
        <v>185</v>
      </c>
      <c r="D246" t="s">
        <v>184</v>
      </c>
      <c r="E246" t="s">
        <v>938</v>
      </c>
      <c r="F246" t="s">
        <v>323</v>
      </c>
      <c r="G246" t="s">
        <v>184</v>
      </c>
      <c r="H246" s="1">
        <v>291962</v>
      </c>
      <c r="I246" s="1">
        <v>40567</v>
      </c>
      <c r="J246" s="1">
        <v>270461</v>
      </c>
      <c r="K246" s="1">
        <v>91363</v>
      </c>
      <c r="L246" s="1">
        <v>80902.185318956123</v>
      </c>
      <c r="M246" s="1">
        <v>95544.583333333328</v>
      </c>
      <c r="N246" s="1">
        <v>91363</v>
      </c>
      <c r="O246" s="1">
        <v>291962</v>
      </c>
      <c r="P246" s="1">
        <v>249007</v>
      </c>
      <c r="Q246" s="1">
        <v>233570</v>
      </c>
      <c r="R246" s="1">
        <v>159468.94514767933</v>
      </c>
      <c r="S246" s="1">
        <v>90858.6</v>
      </c>
      <c r="T246" s="1">
        <v>175011</v>
      </c>
      <c r="U246" s="1">
        <v>20961</v>
      </c>
      <c r="V246" s="3">
        <f>_xlfn.XLOOKUP(Table2[[#This Row],[admin3Pcode]],'Inter-sector dataset'!F:F,'Inter-sector dataset'!Q:Q)</f>
        <v>0</v>
      </c>
      <c r="W246" s="3">
        <f>_xlfn.XLOOKUP(Table2[[#This Row],[admin3Pcode]],'Inter-sector dataset'!F:F,'Inter-sector dataset'!R:R)</f>
        <v>0</v>
      </c>
      <c r="X246" s="1">
        <f>IFERROR(Table2[[#This Row],[Health_PIN]]*$V246,)</f>
        <v>0</v>
      </c>
      <c r="Y246" s="1">
        <f>IFERROR(Table2[[#This Row],[CCCM_PIN]]*$V246,)</f>
        <v>0</v>
      </c>
      <c r="Z246" s="1">
        <f>IFERROR(Table2[[#This Row],[ERL_PIN]]*$V246,)</f>
        <v>0</v>
      </c>
      <c r="AA246" s="1">
        <f>IFERROR(Table2[[#This Row],[NFI_PIN]]*$V246,)</f>
        <v>0</v>
      </c>
      <c r="AB246" s="1">
        <f>IFERROR(Table2[[#This Row],[Nutrition_PIN]]*$V246,)</f>
        <v>0</v>
      </c>
      <c r="AC246" s="1">
        <f>IFERROR(Table2[[#This Row],[Education_PIN]]*$V246,)</f>
        <v>0</v>
      </c>
      <c r="AD246" s="1">
        <f>IFERROR(Table2[[#This Row],[Shelter_PIN]]*$V246,)</f>
        <v>0</v>
      </c>
      <c r="AE246" s="1">
        <f>IFERROR(Table2[[#This Row],[WASH_PIN]]*$V246,)</f>
        <v>0</v>
      </c>
      <c r="AF246" s="1">
        <f>IFERROR(Table2[[#This Row],[WASH_acute_PIN]]*$V246,)</f>
        <v>0</v>
      </c>
      <c r="AG246" s="1">
        <f>IFERROR(Table2[[#This Row],[Protection_PIN]]*$V246,)</f>
        <v>0</v>
      </c>
      <c r="AH246" s="1">
        <f>IFERROR(Table2[[#This Row],[Food_PIN]]*$V246,)</f>
        <v>0</v>
      </c>
      <c r="AI246" s="1">
        <f>IFERROR(Table2[[#This Row],[Protection_CP_PIN]]*$V246,)</f>
        <v>0</v>
      </c>
      <c r="AJ246" s="1">
        <f>IFERROR(Table2[[#This Row],[Protection_GBV_PIN]]*$V246,)</f>
        <v>0</v>
      </c>
      <c r="AK246" s="1">
        <f>IFERROR(Table2[[#This Row],[Protection_MA_PIN]]*$V246,)</f>
        <v>0</v>
      </c>
      <c r="AL246" s="1">
        <f>IFERROR(Table2[[#This Row],[Health_PIN]]*$W246,)</f>
        <v>0</v>
      </c>
      <c r="AM246" s="1">
        <f>IFERROR(Table2[[#This Row],[CCCM_PIN]]*$W246,)</f>
        <v>0</v>
      </c>
      <c r="AN246" s="1">
        <f>IFERROR(Table2[[#This Row],[ERL_PIN]]*$W246,)</f>
        <v>0</v>
      </c>
      <c r="AO246" s="1">
        <f>IFERROR(Table2[[#This Row],[NFI_PIN]]*$W246,)</f>
        <v>0</v>
      </c>
      <c r="AP246" s="1">
        <f>IFERROR(Table2[[#This Row],[Nutrition_PIN]]*$W246,)</f>
        <v>0</v>
      </c>
      <c r="AQ246" s="1">
        <f>IFERROR(Table2[[#This Row],[Education_PIN]]*$W246,)</f>
        <v>0</v>
      </c>
      <c r="AR246" s="1">
        <f>IFERROR(Table2[[#This Row],[Shelter_PIN]]*$W246,)</f>
        <v>0</v>
      </c>
      <c r="AS246" s="1">
        <f>IFERROR(Table2[[#This Row],[WASH_PIN]]*$W246,)</f>
        <v>0</v>
      </c>
      <c r="AT246" s="1">
        <f>IFERROR(Table2[[#This Row],[WASH_acute_PIN]]*$W246,)</f>
        <v>0</v>
      </c>
      <c r="AU246" s="1">
        <f>IFERROR(Table2[[#This Row],[Protection_PIN]]*$W246,)</f>
        <v>0</v>
      </c>
      <c r="AV246" s="1">
        <f>IFERROR(Table2[[#This Row],[Food_PIN]]*$W246,)</f>
        <v>0</v>
      </c>
      <c r="AW246" s="1">
        <f>IFERROR(Table2[[#This Row],[Protection_CP_PIN]]*$W246,)</f>
        <v>0</v>
      </c>
      <c r="AX246" s="1">
        <f>IFERROR(Table2[[#This Row],[Protection_GBV_PIN]]*$W246,)</f>
        <v>0</v>
      </c>
      <c r="AY246" s="1">
        <f>IFERROR(Table2[[#This Row],[Protection_MA_PIN]]*$W246,)</f>
        <v>0</v>
      </c>
      <c r="AZ246" s="1">
        <v>4</v>
      </c>
      <c r="BA246" s="1">
        <v>4</v>
      </c>
      <c r="BB246" s="1">
        <v>5</v>
      </c>
      <c r="BC246" s="1">
        <v>4</v>
      </c>
      <c r="BD246" s="1">
        <v>3</v>
      </c>
      <c r="BE246" s="1">
        <v>5</v>
      </c>
      <c r="BF246" s="1">
        <v>4</v>
      </c>
      <c r="BG246" s="1">
        <v>4</v>
      </c>
      <c r="BH246" s="1">
        <v>5</v>
      </c>
      <c r="BI246" s="1">
        <v>4</v>
      </c>
      <c r="BJ246" s="1">
        <v>4</v>
      </c>
      <c r="BK246" s="1">
        <v>2</v>
      </c>
      <c r="BL246" s="1">
        <v>4</v>
      </c>
    </row>
    <row r="247" spans="1:64" x14ac:dyDescent="0.35">
      <c r="A247" t="s">
        <v>54</v>
      </c>
      <c r="B247" t="s">
        <v>709</v>
      </c>
      <c r="C247" t="s">
        <v>55</v>
      </c>
      <c r="D247" t="s">
        <v>128</v>
      </c>
      <c r="E247" t="s">
        <v>939</v>
      </c>
      <c r="F247" t="s">
        <v>309</v>
      </c>
      <c r="G247" t="s">
        <v>940</v>
      </c>
      <c r="H247" s="1">
        <v>222396</v>
      </c>
      <c r="I247" s="1">
        <v>160288</v>
      </c>
      <c r="J247" s="1">
        <v>119248</v>
      </c>
      <c r="K247" s="1">
        <v>88996</v>
      </c>
      <c r="L247" s="1">
        <v>128079.6053157439</v>
      </c>
      <c r="M247" s="1">
        <v>122515.1</v>
      </c>
      <c r="N247" s="1">
        <v>172952</v>
      </c>
      <c r="O247" s="1">
        <v>296528</v>
      </c>
      <c r="P247" s="1">
        <v>107543</v>
      </c>
      <c r="Q247" s="1">
        <v>237222</v>
      </c>
      <c r="R247" s="1">
        <v>208629.93133047209</v>
      </c>
      <c r="S247" s="1">
        <v>144714.6</v>
      </c>
      <c r="T247" s="1">
        <v>120207</v>
      </c>
      <c r="U247" s="1">
        <v>296252</v>
      </c>
      <c r="V247" s="3">
        <f>_xlfn.XLOOKUP(Table2[[#This Row],[admin3Pcode]],'Inter-sector dataset'!F:F,'Inter-sector dataset'!Q:Q)</f>
        <v>0.8</v>
      </c>
      <c r="W247" s="3">
        <f>_xlfn.XLOOKUP(Table2[[#This Row],[admin3Pcode]],'Inter-sector dataset'!F:F,'Inter-sector dataset'!R:R)</f>
        <v>0</v>
      </c>
      <c r="X247" s="1">
        <f>IFERROR(Table2[[#This Row],[Health_PIN]]*$V247,)</f>
        <v>177916.80000000002</v>
      </c>
      <c r="Y247" s="1">
        <f>IFERROR(Table2[[#This Row],[CCCM_PIN]]*$V247,)</f>
        <v>128230.40000000001</v>
      </c>
      <c r="Z247" s="1">
        <f>IFERROR(Table2[[#This Row],[ERL_PIN]]*$V247,)</f>
        <v>95398.400000000009</v>
      </c>
      <c r="AA247" s="1">
        <f>IFERROR(Table2[[#This Row],[NFI_PIN]]*$V247,)</f>
        <v>71196.800000000003</v>
      </c>
      <c r="AB247" s="1">
        <f>IFERROR(Table2[[#This Row],[Nutrition_PIN]]*$V247,)</f>
        <v>102463.68425259512</v>
      </c>
      <c r="AC247" s="1">
        <f>IFERROR(Table2[[#This Row],[Education_PIN]]*$V247,)</f>
        <v>98012.080000000016</v>
      </c>
      <c r="AD247" s="1">
        <f>IFERROR(Table2[[#This Row],[Shelter_PIN]]*$V247,)</f>
        <v>138361.60000000001</v>
      </c>
      <c r="AE247" s="1">
        <f>IFERROR(Table2[[#This Row],[WASH_PIN]]*$V247,)</f>
        <v>237222.40000000002</v>
      </c>
      <c r="AF247" s="1">
        <f>IFERROR(Table2[[#This Row],[WASH_acute_PIN]]*$V247,)</f>
        <v>86034.400000000009</v>
      </c>
      <c r="AG247" s="1">
        <f>IFERROR(Table2[[#This Row],[Protection_PIN]]*$V247,)</f>
        <v>189777.6</v>
      </c>
      <c r="AH247" s="1">
        <f>IFERROR(Table2[[#This Row],[Food_PIN]]*$V247,)</f>
        <v>166903.94506437768</v>
      </c>
      <c r="AI247" s="1">
        <f>IFERROR(Table2[[#This Row],[Protection_CP_PIN]]*$V247,)</f>
        <v>115771.68000000001</v>
      </c>
      <c r="AJ247" s="1">
        <f>IFERROR(Table2[[#This Row],[Protection_GBV_PIN]]*$V247,)</f>
        <v>96165.6</v>
      </c>
      <c r="AK247" s="1">
        <f>IFERROR(Table2[[#This Row],[Protection_MA_PIN]]*$V247,)</f>
        <v>237001.60000000001</v>
      </c>
      <c r="AL247" s="1">
        <f>IFERROR(Table2[[#This Row],[Health_PIN]]*$W247,)</f>
        <v>0</v>
      </c>
      <c r="AM247" s="1">
        <f>IFERROR(Table2[[#This Row],[CCCM_PIN]]*$W247,)</f>
        <v>0</v>
      </c>
      <c r="AN247" s="1">
        <f>IFERROR(Table2[[#This Row],[ERL_PIN]]*$W247,)</f>
        <v>0</v>
      </c>
      <c r="AO247" s="1">
        <f>IFERROR(Table2[[#This Row],[NFI_PIN]]*$W247,)</f>
        <v>0</v>
      </c>
      <c r="AP247" s="1">
        <f>IFERROR(Table2[[#This Row],[Nutrition_PIN]]*$W247,)</f>
        <v>0</v>
      </c>
      <c r="AQ247" s="1">
        <f>IFERROR(Table2[[#This Row],[Education_PIN]]*$W247,)</f>
        <v>0</v>
      </c>
      <c r="AR247" s="1">
        <f>IFERROR(Table2[[#This Row],[Shelter_PIN]]*$W247,)</f>
        <v>0</v>
      </c>
      <c r="AS247" s="1">
        <f>IFERROR(Table2[[#This Row],[WASH_PIN]]*$W247,)</f>
        <v>0</v>
      </c>
      <c r="AT247" s="1">
        <f>IFERROR(Table2[[#This Row],[WASH_acute_PIN]]*$W247,)</f>
        <v>0</v>
      </c>
      <c r="AU247" s="1">
        <f>IFERROR(Table2[[#This Row],[Protection_PIN]]*$W247,)</f>
        <v>0</v>
      </c>
      <c r="AV247" s="1">
        <f>IFERROR(Table2[[#This Row],[Food_PIN]]*$W247,)</f>
        <v>0</v>
      </c>
      <c r="AW247" s="1">
        <f>IFERROR(Table2[[#This Row],[Protection_CP_PIN]]*$W247,)</f>
        <v>0</v>
      </c>
      <c r="AX247" s="1">
        <f>IFERROR(Table2[[#This Row],[Protection_GBV_PIN]]*$W247,)</f>
        <v>0</v>
      </c>
      <c r="AY247" s="1">
        <f>IFERROR(Table2[[#This Row],[Protection_MA_PIN]]*$W247,)</f>
        <v>0</v>
      </c>
      <c r="AZ247" s="1">
        <v>4</v>
      </c>
      <c r="BA247" s="1">
        <v>4</v>
      </c>
      <c r="BB247" s="1">
        <v>4</v>
      </c>
      <c r="BC247" s="1">
        <v>5</v>
      </c>
      <c r="BD247" s="1">
        <v>2</v>
      </c>
      <c r="BE247" s="1">
        <v>4</v>
      </c>
      <c r="BF247" s="1">
        <v>4</v>
      </c>
      <c r="BG247" s="1">
        <v>4</v>
      </c>
      <c r="BH247" s="1">
        <v>4</v>
      </c>
      <c r="BI247" s="1">
        <v>4</v>
      </c>
      <c r="BJ247" s="1">
        <v>4</v>
      </c>
      <c r="BK247" s="1">
        <v>4</v>
      </c>
      <c r="BL247" s="1">
        <v>4</v>
      </c>
    </row>
    <row r="248" spans="1:64" x14ac:dyDescent="0.35">
      <c r="A248" t="s">
        <v>192</v>
      </c>
      <c r="B248" t="s">
        <v>711</v>
      </c>
      <c r="C248" t="s">
        <v>193</v>
      </c>
      <c r="D248" t="s">
        <v>192</v>
      </c>
      <c r="E248" t="s">
        <v>941</v>
      </c>
      <c r="F248" t="s">
        <v>462</v>
      </c>
      <c r="G248" t="s">
        <v>192</v>
      </c>
      <c r="H248" s="1">
        <v>226032.75</v>
      </c>
      <c r="I248" s="1">
        <v>11146</v>
      </c>
      <c r="J248" s="1">
        <v>123867</v>
      </c>
      <c r="K248" s="1">
        <v>60275</v>
      </c>
      <c r="L248" s="1">
        <v>94889.066128092789</v>
      </c>
      <c r="M248" s="1">
        <v>113535.95</v>
      </c>
      <c r="N248" s="1">
        <v>89062</v>
      </c>
      <c r="O248" s="1">
        <v>219022.53301144458</v>
      </c>
      <c r="P248" s="1">
        <v>93727</v>
      </c>
      <c r="Q248" s="1">
        <v>241102</v>
      </c>
      <c r="R248" s="1">
        <v>134179.50406504067</v>
      </c>
      <c r="S248" s="1">
        <v>110596.5</v>
      </c>
      <c r="T248" s="1">
        <v>155755</v>
      </c>
      <c r="U248" s="1">
        <v>50235</v>
      </c>
      <c r="V248" s="3">
        <f>_xlfn.XLOOKUP(Table2[[#This Row],[admin3Pcode]],'Inter-sector dataset'!F:F,'Inter-sector dataset'!Q:Q)</f>
        <v>1</v>
      </c>
      <c r="W248" s="3">
        <f>_xlfn.XLOOKUP(Table2[[#This Row],[admin3Pcode]],'Inter-sector dataset'!F:F,'Inter-sector dataset'!R:R)</f>
        <v>0</v>
      </c>
      <c r="X248" s="1">
        <f>IFERROR(Table2[[#This Row],[Health_PIN]]*$V248,)</f>
        <v>226032.75</v>
      </c>
      <c r="Y248" s="1">
        <f>IFERROR(Table2[[#This Row],[CCCM_PIN]]*$V248,)</f>
        <v>11146</v>
      </c>
      <c r="Z248" s="1">
        <f>IFERROR(Table2[[#This Row],[ERL_PIN]]*$V248,)</f>
        <v>123867</v>
      </c>
      <c r="AA248" s="1">
        <f>IFERROR(Table2[[#This Row],[NFI_PIN]]*$V248,)</f>
        <v>60275</v>
      </c>
      <c r="AB248" s="1">
        <f>IFERROR(Table2[[#This Row],[Nutrition_PIN]]*$V248,)</f>
        <v>94889.066128092789</v>
      </c>
      <c r="AC248" s="1">
        <f>IFERROR(Table2[[#This Row],[Education_PIN]]*$V248,)</f>
        <v>113535.95</v>
      </c>
      <c r="AD248" s="1">
        <f>IFERROR(Table2[[#This Row],[Shelter_PIN]]*$V248,)</f>
        <v>89062</v>
      </c>
      <c r="AE248" s="1">
        <f>IFERROR(Table2[[#This Row],[WASH_PIN]]*$V248,)</f>
        <v>219022.53301144458</v>
      </c>
      <c r="AF248" s="1">
        <f>IFERROR(Table2[[#This Row],[WASH_acute_PIN]]*$V248,)</f>
        <v>93727</v>
      </c>
      <c r="AG248" s="1">
        <f>IFERROR(Table2[[#This Row],[Protection_PIN]]*$V248,)</f>
        <v>241102</v>
      </c>
      <c r="AH248" s="1">
        <f>IFERROR(Table2[[#This Row],[Food_PIN]]*$V248,)</f>
        <v>134179.50406504067</v>
      </c>
      <c r="AI248" s="1">
        <f>IFERROR(Table2[[#This Row],[Protection_CP_PIN]]*$V248,)</f>
        <v>110596.5</v>
      </c>
      <c r="AJ248" s="1">
        <f>IFERROR(Table2[[#This Row],[Protection_GBV_PIN]]*$V248,)</f>
        <v>155755</v>
      </c>
      <c r="AK248" s="1">
        <f>IFERROR(Table2[[#This Row],[Protection_MA_PIN]]*$V248,)</f>
        <v>50235</v>
      </c>
      <c r="AL248" s="1">
        <f>IFERROR(Table2[[#This Row],[Health_PIN]]*$W248,)</f>
        <v>0</v>
      </c>
      <c r="AM248" s="1">
        <f>IFERROR(Table2[[#This Row],[CCCM_PIN]]*$W248,)</f>
        <v>0</v>
      </c>
      <c r="AN248" s="1">
        <f>IFERROR(Table2[[#This Row],[ERL_PIN]]*$W248,)</f>
        <v>0</v>
      </c>
      <c r="AO248" s="1">
        <f>IFERROR(Table2[[#This Row],[NFI_PIN]]*$W248,)</f>
        <v>0</v>
      </c>
      <c r="AP248" s="1">
        <f>IFERROR(Table2[[#This Row],[Nutrition_PIN]]*$W248,)</f>
        <v>0</v>
      </c>
      <c r="AQ248" s="1">
        <f>IFERROR(Table2[[#This Row],[Education_PIN]]*$W248,)</f>
        <v>0</v>
      </c>
      <c r="AR248" s="1">
        <f>IFERROR(Table2[[#This Row],[Shelter_PIN]]*$W248,)</f>
        <v>0</v>
      </c>
      <c r="AS248" s="1">
        <f>IFERROR(Table2[[#This Row],[WASH_PIN]]*$W248,)</f>
        <v>0</v>
      </c>
      <c r="AT248" s="1">
        <f>IFERROR(Table2[[#This Row],[WASH_acute_PIN]]*$W248,)</f>
        <v>0</v>
      </c>
      <c r="AU248" s="1">
        <f>IFERROR(Table2[[#This Row],[Protection_PIN]]*$W248,)</f>
        <v>0</v>
      </c>
      <c r="AV248" s="1">
        <f>IFERROR(Table2[[#This Row],[Food_PIN]]*$W248,)</f>
        <v>0</v>
      </c>
      <c r="AW248" s="1">
        <f>IFERROR(Table2[[#This Row],[Protection_CP_PIN]]*$W248,)</f>
        <v>0</v>
      </c>
      <c r="AX248" s="1">
        <f>IFERROR(Table2[[#This Row],[Protection_GBV_PIN]]*$W248,)</f>
        <v>0</v>
      </c>
      <c r="AY248" s="1">
        <f>IFERROR(Table2[[#This Row],[Protection_MA_PIN]]*$W248,)</f>
        <v>0</v>
      </c>
      <c r="AZ248" s="1">
        <v>3</v>
      </c>
      <c r="BA248" s="1">
        <v>4</v>
      </c>
      <c r="BB248" s="1">
        <v>4</v>
      </c>
      <c r="BC248" s="1">
        <v>2</v>
      </c>
      <c r="BD248" s="1">
        <v>2</v>
      </c>
      <c r="BE248" s="1">
        <v>4</v>
      </c>
      <c r="BF248" s="1">
        <v>4</v>
      </c>
      <c r="BG248" s="1">
        <v>4</v>
      </c>
      <c r="BH248" s="1">
        <v>5</v>
      </c>
      <c r="BI248" s="1">
        <v>4</v>
      </c>
      <c r="BJ248" s="1">
        <v>4</v>
      </c>
      <c r="BK248" s="1">
        <v>2</v>
      </c>
      <c r="BL248" s="1">
        <v>4</v>
      </c>
    </row>
    <row r="249" spans="1:64" x14ac:dyDescent="0.35">
      <c r="A249" t="s">
        <v>54</v>
      </c>
      <c r="B249" t="s">
        <v>709</v>
      </c>
      <c r="C249" t="s">
        <v>55</v>
      </c>
      <c r="D249" t="s">
        <v>356</v>
      </c>
      <c r="E249" t="s">
        <v>942</v>
      </c>
      <c r="F249" t="s">
        <v>473</v>
      </c>
      <c r="G249" t="s">
        <v>356</v>
      </c>
      <c r="H249" s="1">
        <v>228983.25</v>
      </c>
      <c r="I249" s="1">
        <v>13020</v>
      </c>
      <c r="J249" s="1">
        <v>169109</v>
      </c>
      <c r="K249" s="1">
        <v>145298</v>
      </c>
      <c r="L249" s="1">
        <v>103815.08870787948</v>
      </c>
      <c r="M249" s="1">
        <v>146533.38333333333</v>
      </c>
      <c r="N249" s="1">
        <v>77745</v>
      </c>
      <c r="O249" s="1">
        <v>228225.94636875088</v>
      </c>
      <c r="P249" s="1">
        <v>76317</v>
      </c>
      <c r="Q249" s="1">
        <v>244249</v>
      </c>
      <c r="R249" s="1">
        <v>213736.01255230125</v>
      </c>
      <c r="S249" s="1">
        <v>120362.09999999999</v>
      </c>
      <c r="T249" s="1">
        <v>78275</v>
      </c>
      <c r="U249" s="1">
        <v>150651</v>
      </c>
      <c r="V249" s="3">
        <f>_xlfn.XLOOKUP(Table2[[#This Row],[admin3Pcode]],'Inter-sector dataset'!F:F,'Inter-sector dataset'!Q:Q)</f>
        <v>0.05</v>
      </c>
      <c r="W249" s="3">
        <f>_xlfn.XLOOKUP(Table2[[#This Row],[admin3Pcode]],'Inter-sector dataset'!F:F,'Inter-sector dataset'!R:R)</f>
        <v>0</v>
      </c>
      <c r="X249" s="1">
        <f>IFERROR(Table2[[#This Row],[Health_PIN]]*$V249,)</f>
        <v>11449.1625</v>
      </c>
      <c r="Y249" s="1">
        <f>IFERROR(Table2[[#This Row],[CCCM_PIN]]*$V249,)</f>
        <v>651</v>
      </c>
      <c r="Z249" s="1">
        <f>IFERROR(Table2[[#This Row],[ERL_PIN]]*$V249,)</f>
        <v>8455.4500000000007</v>
      </c>
      <c r="AA249" s="1">
        <f>IFERROR(Table2[[#This Row],[NFI_PIN]]*$V249,)</f>
        <v>7264.9000000000005</v>
      </c>
      <c r="AB249" s="1">
        <f>IFERROR(Table2[[#This Row],[Nutrition_PIN]]*$V249,)</f>
        <v>5190.7544353939738</v>
      </c>
      <c r="AC249" s="1">
        <f>IFERROR(Table2[[#This Row],[Education_PIN]]*$V249,)</f>
        <v>7326.6691666666666</v>
      </c>
      <c r="AD249" s="1">
        <f>IFERROR(Table2[[#This Row],[Shelter_PIN]]*$V249,)</f>
        <v>3887.25</v>
      </c>
      <c r="AE249" s="1">
        <f>IFERROR(Table2[[#This Row],[WASH_PIN]]*$V249,)</f>
        <v>11411.297318437544</v>
      </c>
      <c r="AF249" s="1">
        <f>IFERROR(Table2[[#This Row],[WASH_acute_PIN]]*$V249,)</f>
        <v>3815.8500000000004</v>
      </c>
      <c r="AG249" s="1">
        <f>IFERROR(Table2[[#This Row],[Protection_PIN]]*$V249,)</f>
        <v>12212.45</v>
      </c>
      <c r="AH249" s="1">
        <f>IFERROR(Table2[[#This Row],[Food_PIN]]*$V249,)</f>
        <v>10686.800627615063</v>
      </c>
      <c r="AI249" s="1">
        <f>IFERROR(Table2[[#This Row],[Protection_CP_PIN]]*$V249,)</f>
        <v>6018.1049999999996</v>
      </c>
      <c r="AJ249" s="1">
        <f>IFERROR(Table2[[#This Row],[Protection_GBV_PIN]]*$V249,)</f>
        <v>3913.75</v>
      </c>
      <c r="AK249" s="1">
        <f>IFERROR(Table2[[#This Row],[Protection_MA_PIN]]*$V249,)</f>
        <v>7532.55</v>
      </c>
      <c r="AL249" s="1">
        <f>IFERROR(Table2[[#This Row],[Health_PIN]]*$W249,)</f>
        <v>0</v>
      </c>
      <c r="AM249" s="1">
        <f>IFERROR(Table2[[#This Row],[CCCM_PIN]]*$W249,)</f>
        <v>0</v>
      </c>
      <c r="AN249" s="1">
        <f>IFERROR(Table2[[#This Row],[ERL_PIN]]*$W249,)</f>
        <v>0</v>
      </c>
      <c r="AO249" s="1">
        <f>IFERROR(Table2[[#This Row],[NFI_PIN]]*$W249,)</f>
        <v>0</v>
      </c>
      <c r="AP249" s="1">
        <f>IFERROR(Table2[[#This Row],[Nutrition_PIN]]*$W249,)</f>
        <v>0</v>
      </c>
      <c r="AQ249" s="1">
        <f>IFERROR(Table2[[#This Row],[Education_PIN]]*$W249,)</f>
        <v>0</v>
      </c>
      <c r="AR249" s="1">
        <f>IFERROR(Table2[[#This Row],[Shelter_PIN]]*$W249,)</f>
        <v>0</v>
      </c>
      <c r="AS249" s="1">
        <f>IFERROR(Table2[[#This Row],[WASH_PIN]]*$W249,)</f>
        <v>0</v>
      </c>
      <c r="AT249" s="1">
        <f>IFERROR(Table2[[#This Row],[WASH_acute_PIN]]*$W249,)</f>
        <v>0</v>
      </c>
      <c r="AU249" s="1">
        <f>IFERROR(Table2[[#This Row],[Protection_PIN]]*$W249,)</f>
        <v>0</v>
      </c>
      <c r="AV249" s="1">
        <f>IFERROR(Table2[[#This Row],[Food_PIN]]*$W249,)</f>
        <v>0</v>
      </c>
      <c r="AW249" s="1">
        <f>IFERROR(Table2[[#This Row],[Protection_CP_PIN]]*$W249,)</f>
        <v>0</v>
      </c>
      <c r="AX249" s="1">
        <f>IFERROR(Table2[[#This Row],[Protection_GBV_PIN]]*$W249,)</f>
        <v>0</v>
      </c>
      <c r="AY249" s="1">
        <f>IFERROR(Table2[[#This Row],[Protection_MA_PIN]]*$W249,)</f>
        <v>0</v>
      </c>
      <c r="AZ249" s="1">
        <v>3</v>
      </c>
      <c r="BA249" s="1">
        <v>4</v>
      </c>
      <c r="BB249" s="1">
        <v>5</v>
      </c>
      <c r="BC249" s="1">
        <v>4</v>
      </c>
      <c r="BD249" s="1">
        <v>3</v>
      </c>
      <c r="BE249" s="1">
        <v>4</v>
      </c>
      <c r="BF249" s="1">
        <v>4</v>
      </c>
      <c r="BG249" s="1">
        <v>4</v>
      </c>
      <c r="BH249" s="1">
        <v>3</v>
      </c>
      <c r="BI249" s="1">
        <v>4</v>
      </c>
      <c r="BJ249" s="1">
        <v>4</v>
      </c>
      <c r="BK249" s="1">
        <v>4</v>
      </c>
      <c r="BL249" s="1">
        <v>3</v>
      </c>
    </row>
    <row r="250" spans="1:64" x14ac:dyDescent="0.35">
      <c r="A250" t="s">
        <v>104</v>
      </c>
      <c r="B250" t="s">
        <v>677</v>
      </c>
      <c r="C250" t="s">
        <v>105</v>
      </c>
      <c r="D250" t="s">
        <v>360</v>
      </c>
      <c r="E250" t="s">
        <v>943</v>
      </c>
      <c r="F250" t="s">
        <v>361</v>
      </c>
      <c r="G250" t="s">
        <v>360</v>
      </c>
      <c r="H250" s="1">
        <v>251997</v>
      </c>
      <c r="I250" s="1" t="s">
        <v>665</v>
      </c>
      <c r="J250" s="1">
        <v>332767</v>
      </c>
      <c r="K250" s="1">
        <v>96630</v>
      </c>
      <c r="L250" s="1">
        <v>73022.942551002503</v>
      </c>
      <c r="M250" s="1">
        <v>37683.567396881153</v>
      </c>
      <c r="N250" s="1">
        <v>92820</v>
      </c>
      <c r="O250" s="1">
        <v>267706.71444723912</v>
      </c>
      <c r="P250" s="1">
        <v>131968</v>
      </c>
      <c r="Q250" s="1">
        <v>268797</v>
      </c>
      <c r="R250" s="1">
        <v>142205.77593360996</v>
      </c>
      <c r="S250" s="1">
        <v>88702.2</v>
      </c>
      <c r="T250" s="1">
        <v>134267</v>
      </c>
      <c r="U250" s="1">
        <v>332597</v>
      </c>
      <c r="V250" s="3">
        <f>_xlfn.XLOOKUP(Table2[[#This Row],[admin3Pcode]],'Inter-sector dataset'!F:F,'Inter-sector dataset'!Q:Q)</f>
        <v>0</v>
      </c>
      <c r="W250" s="3">
        <f>_xlfn.XLOOKUP(Table2[[#This Row],[admin3Pcode]],'Inter-sector dataset'!F:F,'Inter-sector dataset'!R:R)</f>
        <v>0</v>
      </c>
      <c r="X250" s="1">
        <f>IFERROR(Table2[[#This Row],[Health_PIN]]*$V250,)</f>
        <v>0</v>
      </c>
      <c r="Y250" s="1">
        <f>IFERROR(Table2[[#This Row],[CCCM_PIN]]*$V250,)</f>
        <v>0</v>
      </c>
      <c r="Z250" s="1">
        <f>IFERROR(Table2[[#This Row],[ERL_PIN]]*$V250,)</f>
        <v>0</v>
      </c>
      <c r="AA250" s="1">
        <f>IFERROR(Table2[[#This Row],[NFI_PIN]]*$V250,)</f>
        <v>0</v>
      </c>
      <c r="AB250" s="1">
        <f>IFERROR(Table2[[#This Row],[Nutrition_PIN]]*$V250,)</f>
        <v>0</v>
      </c>
      <c r="AC250" s="1">
        <f>IFERROR(Table2[[#This Row],[Education_PIN]]*$V250,)</f>
        <v>0</v>
      </c>
      <c r="AD250" s="1">
        <f>IFERROR(Table2[[#This Row],[Shelter_PIN]]*$V250,)</f>
        <v>0</v>
      </c>
      <c r="AE250" s="1">
        <f>IFERROR(Table2[[#This Row],[WASH_PIN]]*$V250,)</f>
        <v>0</v>
      </c>
      <c r="AF250" s="1">
        <f>IFERROR(Table2[[#This Row],[WASH_acute_PIN]]*$V250,)</f>
        <v>0</v>
      </c>
      <c r="AG250" s="1">
        <f>IFERROR(Table2[[#This Row],[Protection_PIN]]*$V250,)</f>
        <v>0</v>
      </c>
      <c r="AH250" s="1">
        <f>IFERROR(Table2[[#This Row],[Food_PIN]]*$V250,)</f>
        <v>0</v>
      </c>
      <c r="AI250" s="1">
        <f>IFERROR(Table2[[#This Row],[Protection_CP_PIN]]*$V250,)</f>
        <v>0</v>
      </c>
      <c r="AJ250" s="1">
        <f>IFERROR(Table2[[#This Row],[Protection_GBV_PIN]]*$V250,)</f>
        <v>0</v>
      </c>
      <c r="AK250" s="1">
        <f>IFERROR(Table2[[#This Row],[Protection_MA_PIN]]*$V250,)</f>
        <v>0</v>
      </c>
      <c r="AL250" s="1">
        <f>IFERROR(Table2[[#This Row],[Health_PIN]]*$W250,)</f>
        <v>0</v>
      </c>
      <c r="AM250" s="1">
        <f>IFERROR(Table2[[#This Row],[CCCM_PIN]]*$W250,)</f>
        <v>0</v>
      </c>
      <c r="AN250" s="1">
        <f>IFERROR(Table2[[#This Row],[ERL_PIN]]*$W250,)</f>
        <v>0</v>
      </c>
      <c r="AO250" s="1">
        <f>IFERROR(Table2[[#This Row],[NFI_PIN]]*$W250,)</f>
        <v>0</v>
      </c>
      <c r="AP250" s="1">
        <f>IFERROR(Table2[[#This Row],[Nutrition_PIN]]*$W250,)</f>
        <v>0</v>
      </c>
      <c r="AQ250" s="1">
        <f>IFERROR(Table2[[#This Row],[Education_PIN]]*$W250,)</f>
        <v>0</v>
      </c>
      <c r="AR250" s="1">
        <f>IFERROR(Table2[[#This Row],[Shelter_PIN]]*$W250,)</f>
        <v>0</v>
      </c>
      <c r="AS250" s="1">
        <f>IFERROR(Table2[[#This Row],[WASH_PIN]]*$W250,)</f>
        <v>0</v>
      </c>
      <c r="AT250" s="1">
        <f>IFERROR(Table2[[#This Row],[WASH_acute_PIN]]*$W250,)</f>
        <v>0</v>
      </c>
      <c r="AU250" s="1">
        <f>IFERROR(Table2[[#This Row],[Protection_PIN]]*$W250,)</f>
        <v>0</v>
      </c>
      <c r="AV250" s="1">
        <f>IFERROR(Table2[[#This Row],[Food_PIN]]*$W250,)</f>
        <v>0</v>
      </c>
      <c r="AW250" s="1">
        <f>IFERROR(Table2[[#This Row],[Protection_CP_PIN]]*$W250,)</f>
        <v>0</v>
      </c>
      <c r="AX250" s="1">
        <f>IFERROR(Table2[[#This Row],[Protection_GBV_PIN]]*$W250,)</f>
        <v>0</v>
      </c>
      <c r="AY250" s="1">
        <f>IFERROR(Table2[[#This Row],[Protection_MA_PIN]]*$W250,)</f>
        <v>0</v>
      </c>
      <c r="AZ250" s="1">
        <v>4</v>
      </c>
      <c r="BA250" s="1">
        <v>5</v>
      </c>
      <c r="BB250" s="1">
        <v>4</v>
      </c>
      <c r="BC250" s="1">
        <v>4</v>
      </c>
      <c r="BD250" s="1">
        <v>4</v>
      </c>
      <c r="BE250" s="1">
        <v>4</v>
      </c>
      <c r="BF250" s="1">
        <v>4</v>
      </c>
      <c r="BG250" s="1">
        <v>4</v>
      </c>
      <c r="BH250" s="1">
        <v>4</v>
      </c>
      <c r="BI250" s="1">
        <v>4</v>
      </c>
      <c r="BJ250" s="1">
        <v>3</v>
      </c>
      <c r="BK250" s="1" t="s">
        <v>665</v>
      </c>
      <c r="BL250" s="1">
        <v>4</v>
      </c>
    </row>
    <row r="251" spans="1:64" x14ac:dyDescent="0.35">
      <c r="A251" t="s">
        <v>200</v>
      </c>
      <c r="B251" t="s">
        <v>683</v>
      </c>
      <c r="C251" t="s">
        <v>201</v>
      </c>
      <c r="D251" t="s">
        <v>200</v>
      </c>
      <c r="E251" t="s">
        <v>944</v>
      </c>
      <c r="F251" t="s">
        <v>289</v>
      </c>
      <c r="G251" t="s">
        <v>200</v>
      </c>
      <c r="H251" s="1">
        <v>379993</v>
      </c>
      <c r="I251" s="1">
        <v>95406</v>
      </c>
      <c r="J251" s="1">
        <v>286794</v>
      </c>
      <c r="K251" s="1">
        <v>117494</v>
      </c>
      <c r="L251" s="1">
        <v>116394.35141979659</v>
      </c>
      <c r="M251" s="1">
        <v>170973.26666666666</v>
      </c>
      <c r="N251" s="1">
        <v>142969</v>
      </c>
      <c r="O251" s="1">
        <v>377180.19377180445</v>
      </c>
      <c r="P251" s="1">
        <v>294710</v>
      </c>
      <c r="Q251" s="1">
        <v>303994</v>
      </c>
      <c r="R251" s="1">
        <v>311731.96015936253</v>
      </c>
      <c r="S251" s="1">
        <v>143553.9</v>
      </c>
      <c r="T251" s="1">
        <v>192792</v>
      </c>
      <c r="U251" s="1">
        <v>173490</v>
      </c>
      <c r="V251" s="3">
        <f>_xlfn.XLOOKUP(Table2[[#This Row],[admin3Pcode]],'Inter-sector dataset'!F:F,'Inter-sector dataset'!Q:Q)</f>
        <v>0</v>
      </c>
      <c r="W251" s="3">
        <f>_xlfn.XLOOKUP(Table2[[#This Row],[admin3Pcode]],'Inter-sector dataset'!F:F,'Inter-sector dataset'!R:R)</f>
        <v>0</v>
      </c>
      <c r="X251" s="1">
        <f>IFERROR(Table2[[#This Row],[Health_PIN]]*$V251,)</f>
        <v>0</v>
      </c>
      <c r="Y251" s="1">
        <f>IFERROR(Table2[[#This Row],[CCCM_PIN]]*$V251,)</f>
        <v>0</v>
      </c>
      <c r="Z251" s="1">
        <f>IFERROR(Table2[[#This Row],[ERL_PIN]]*$V251,)</f>
        <v>0</v>
      </c>
      <c r="AA251" s="1">
        <f>IFERROR(Table2[[#This Row],[NFI_PIN]]*$V251,)</f>
        <v>0</v>
      </c>
      <c r="AB251" s="1">
        <f>IFERROR(Table2[[#This Row],[Nutrition_PIN]]*$V251,)</f>
        <v>0</v>
      </c>
      <c r="AC251" s="1">
        <f>IFERROR(Table2[[#This Row],[Education_PIN]]*$V251,)</f>
        <v>0</v>
      </c>
      <c r="AD251" s="1">
        <f>IFERROR(Table2[[#This Row],[Shelter_PIN]]*$V251,)</f>
        <v>0</v>
      </c>
      <c r="AE251" s="1">
        <f>IFERROR(Table2[[#This Row],[WASH_PIN]]*$V251,)</f>
        <v>0</v>
      </c>
      <c r="AF251" s="1">
        <f>IFERROR(Table2[[#This Row],[WASH_acute_PIN]]*$V251,)</f>
        <v>0</v>
      </c>
      <c r="AG251" s="1">
        <f>IFERROR(Table2[[#This Row],[Protection_PIN]]*$V251,)</f>
        <v>0</v>
      </c>
      <c r="AH251" s="1">
        <f>IFERROR(Table2[[#This Row],[Food_PIN]]*$V251,)</f>
        <v>0</v>
      </c>
      <c r="AI251" s="1">
        <f>IFERROR(Table2[[#This Row],[Protection_CP_PIN]]*$V251,)</f>
        <v>0</v>
      </c>
      <c r="AJ251" s="1">
        <f>IFERROR(Table2[[#This Row],[Protection_GBV_PIN]]*$V251,)</f>
        <v>0</v>
      </c>
      <c r="AK251" s="1">
        <f>IFERROR(Table2[[#This Row],[Protection_MA_PIN]]*$V251,)</f>
        <v>0</v>
      </c>
      <c r="AL251" s="1">
        <f>IFERROR(Table2[[#This Row],[Health_PIN]]*$W251,)</f>
        <v>0</v>
      </c>
      <c r="AM251" s="1">
        <f>IFERROR(Table2[[#This Row],[CCCM_PIN]]*$W251,)</f>
        <v>0</v>
      </c>
      <c r="AN251" s="1">
        <f>IFERROR(Table2[[#This Row],[ERL_PIN]]*$W251,)</f>
        <v>0</v>
      </c>
      <c r="AO251" s="1">
        <f>IFERROR(Table2[[#This Row],[NFI_PIN]]*$W251,)</f>
        <v>0</v>
      </c>
      <c r="AP251" s="1">
        <f>IFERROR(Table2[[#This Row],[Nutrition_PIN]]*$W251,)</f>
        <v>0</v>
      </c>
      <c r="AQ251" s="1">
        <f>IFERROR(Table2[[#This Row],[Education_PIN]]*$W251,)</f>
        <v>0</v>
      </c>
      <c r="AR251" s="1">
        <f>IFERROR(Table2[[#This Row],[Shelter_PIN]]*$W251,)</f>
        <v>0</v>
      </c>
      <c r="AS251" s="1">
        <f>IFERROR(Table2[[#This Row],[WASH_PIN]]*$W251,)</f>
        <v>0</v>
      </c>
      <c r="AT251" s="1">
        <f>IFERROR(Table2[[#This Row],[WASH_acute_PIN]]*$W251,)</f>
        <v>0</v>
      </c>
      <c r="AU251" s="1">
        <f>IFERROR(Table2[[#This Row],[Protection_PIN]]*$W251,)</f>
        <v>0</v>
      </c>
      <c r="AV251" s="1">
        <f>IFERROR(Table2[[#This Row],[Food_PIN]]*$W251,)</f>
        <v>0</v>
      </c>
      <c r="AW251" s="1">
        <f>IFERROR(Table2[[#This Row],[Protection_CP_PIN]]*$W251,)</f>
        <v>0</v>
      </c>
      <c r="AX251" s="1">
        <f>IFERROR(Table2[[#This Row],[Protection_GBV_PIN]]*$W251,)</f>
        <v>0</v>
      </c>
      <c r="AY251" s="1">
        <f>IFERROR(Table2[[#This Row],[Protection_MA_PIN]]*$W251,)</f>
        <v>0</v>
      </c>
      <c r="AZ251" s="1">
        <v>4</v>
      </c>
      <c r="BA251" s="1">
        <v>4</v>
      </c>
      <c r="BB251" s="1">
        <v>4</v>
      </c>
      <c r="BC251" s="1">
        <v>4</v>
      </c>
      <c r="BD251" s="1">
        <v>3</v>
      </c>
      <c r="BE251" s="1">
        <v>5</v>
      </c>
      <c r="BF251" s="1">
        <v>4</v>
      </c>
      <c r="BG251" s="1">
        <v>4</v>
      </c>
      <c r="BH251" s="1">
        <v>5</v>
      </c>
      <c r="BI251" s="1">
        <v>4</v>
      </c>
      <c r="BJ251" s="1">
        <v>4</v>
      </c>
      <c r="BK251" s="1">
        <v>5</v>
      </c>
      <c r="BL251" s="1">
        <v>4</v>
      </c>
    </row>
    <row r="252" spans="1:64" x14ac:dyDescent="0.35">
      <c r="A252" t="s">
        <v>104</v>
      </c>
      <c r="B252" t="s">
        <v>677</v>
      </c>
      <c r="C252" t="s">
        <v>105</v>
      </c>
      <c r="D252" t="s">
        <v>142</v>
      </c>
      <c r="E252" t="s">
        <v>945</v>
      </c>
      <c r="F252" t="s">
        <v>143</v>
      </c>
      <c r="G252" t="s">
        <v>142</v>
      </c>
      <c r="H252" s="1">
        <v>452663.25</v>
      </c>
      <c r="I252" s="1" t="s">
        <v>665</v>
      </c>
      <c r="J252" s="1">
        <v>421490</v>
      </c>
      <c r="K252" s="1">
        <v>181065</v>
      </c>
      <c r="L252" s="1">
        <v>125993.03330501827</v>
      </c>
      <c r="M252" s="1">
        <v>211428.7833333333</v>
      </c>
      <c r="N252" s="1">
        <v>181065</v>
      </c>
      <c r="O252" s="1">
        <v>474779.14627482346</v>
      </c>
      <c r="P252" s="1">
        <v>163267</v>
      </c>
      <c r="Q252" s="1">
        <v>482841</v>
      </c>
      <c r="R252" s="1">
        <v>415287.385321101</v>
      </c>
      <c r="S252" s="1">
        <v>181689.60000000001</v>
      </c>
      <c r="T252" s="1">
        <v>261839</v>
      </c>
      <c r="U252" s="1" t="s">
        <v>665</v>
      </c>
      <c r="V252" s="3">
        <f>_xlfn.XLOOKUP(Table2[[#This Row],[admin3Pcode]],'Inter-sector dataset'!F:F,'Inter-sector dataset'!Q:Q)</f>
        <v>0</v>
      </c>
      <c r="W252" s="3">
        <f>_xlfn.XLOOKUP(Table2[[#This Row],[admin3Pcode]],'Inter-sector dataset'!F:F,'Inter-sector dataset'!R:R)</f>
        <v>0</v>
      </c>
      <c r="X252" s="1">
        <f>IFERROR(Table2[[#This Row],[Health_PIN]]*$V252,)</f>
        <v>0</v>
      </c>
      <c r="Y252" s="1">
        <f>IFERROR(Table2[[#This Row],[CCCM_PIN]]*$V252,)</f>
        <v>0</v>
      </c>
      <c r="Z252" s="1">
        <f>IFERROR(Table2[[#This Row],[ERL_PIN]]*$V252,)</f>
        <v>0</v>
      </c>
      <c r="AA252" s="1">
        <f>IFERROR(Table2[[#This Row],[NFI_PIN]]*$V252,)</f>
        <v>0</v>
      </c>
      <c r="AB252" s="1">
        <f>IFERROR(Table2[[#This Row],[Nutrition_PIN]]*$V252,)</f>
        <v>0</v>
      </c>
      <c r="AC252" s="1">
        <f>IFERROR(Table2[[#This Row],[Education_PIN]]*$V252,)</f>
        <v>0</v>
      </c>
      <c r="AD252" s="1">
        <f>IFERROR(Table2[[#This Row],[Shelter_PIN]]*$V252,)</f>
        <v>0</v>
      </c>
      <c r="AE252" s="1">
        <f>IFERROR(Table2[[#This Row],[WASH_PIN]]*$V252,)</f>
        <v>0</v>
      </c>
      <c r="AF252" s="1">
        <f>IFERROR(Table2[[#This Row],[WASH_acute_PIN]]*$V252,)</f>
        <v>0</v>
      </c>
      <c r="AG252" s="1">
        <f>IFERROR(Table2[[#This Row],[Protection_PIN]]*$V252,)</f>
        <v>0</v>
      </c>
      <c r="AH252" s="1">
        <f>IFERROR(Table2[[#This Row],[Food_PIN]]*$V252,)</f>
        <v>0</v>
      </c>
      <c r="AI252" s="1">
        <f>IFERROR(Table2[[#This Row],[Protection_CP_PIN]]*$V252,)</f>
        <v>0</v>
      </c>
      <c r="AJ252" s="1">
        <f>IFERROR(Table2[[#This Row],[Protection_GBV_PIN]]*$V252,)</f>
        <v>0</v>
      </c>
      <c r="AK252" s="1">
        <f>IFERROR(Table2[[#This Row],[Protection_MA_PIN]]*$V252,)</f>
        <v>0</v>
      </c>
      <c r="AL252" s="1">
        <f>IFERROR(Table2[[#This Row],[Health_PIN]]*$W252,)</f>
        <v>0</v>
      </c>
      <c r="AM252" s="1">
        <f>IFERROR(Table2[[#This Row],[CCCM_PIN]]*$W252,)</f>
        <v>0</v>
      </c>
      <c r="AN252" s="1">
        <f>IFERROR(Table2[[#This Row],[ERL_PIN]]*$W252,)</f>
        <v>0</v>
      </c>
      <c r="AO252" s="1">
        <f>IFERROR(Table2[[#This Row],[NFI_PIN]]*$W252,)</f>
        <v>0</v>
      </c>
      <c r="AP252" s="1">
        <f>IFERROR(Table2[[#This Row],[Nutrition_PIN]]*$W252,)</f>
        <v>0</v>
      </c>
      <c r="AQ252" s="1">
        <f>IFERROR(Table2[[#This Row],[Education_PIN]]*$W252,)</f>
        <v>0</v>
      </c>
      <c r="AR252" s="1">
        <f>IFERROR(Table2[[#This Row],[Shelter_PIN]]*$W252,)</f>
        <v>0</v>
      </c>
      <c r="AS252" s="1">
        <f>IFERROR(Table2[[#This Row],[WASH_PIN]]*$W252,)</f>
        <v>0</v>
      </c>
      <c r="AT252" s="1">
        <f>IFERROR(Table2[[#This Row],[WASH_acute_PIN]]*$W252,)</f>
        <v>0</v>
      </c>
      <c r="AU252" s="1">
        <f>IFERROR(Table2[[#This Row],[Protection_PIN]]*$W252,)</f>
        <v>0</v>
      </c>
      <c r="AV252" s="1">
        <f>IFERROR(Table2[[#This Row],[Food_PIN]]*$W252,)</f>
        <v>0</v>
      </c>
      <c r="AW252" s="1">
        <f>IFERROR(Table2[[#This Row],[Protection_CP_PIN]]*$W252,)</f>
        <v>0</v>
      </c>
      <c r="AX252" s="1">
        <f>IFERROR(Table2[[#This Row],[Protection_GBV_PIN]]*$W252,)</f>
        <v>0</v>
      </c>
      <c r="AY252" s="1">
        <f>IFERROR(Table2[[#This Row],[Protection_MA_PIN]]*$W252,)</f>
        <v>0</v>
      </c>
      <c r="AZ252" s="1">
        <v>3</v>
      </c>
      <c r="BA252" s="1">
        <v>4</v>
      </c>
      <c r="BB252" s="1">
        <v>4</v>
      </c>
      <c r="BC252" s="1">
        <v>3</v>
      </c>
      <c r="BD252" s="1">
        <v>3</v>
      </c>
      <c r="BE252" s="1">
        <v>4</v>
      </c>
      <c r="BF252" s="1">
        <v>4</v>
      </c>
      <c r="BG252" s="1">
        <v>4</v>
      </c>
      <c r="BH252" s="1">
        <v>4</v>
      </c>
      <c r="BI252" s="1">
        <v>4</v>
      </c>
      <c r="BJ252" s="1">
        <v>3</v>
      </c>
      <c r="BK252" s="1" t="s">
        <v>665</v>
      </c>
      <c r="BL252" s="1">
        <v>4</v>
      </c>
    </row>
    <row r="253" spans="1:64" x14ac:dyDescent="0.35">
      <c r="A253" t="s">
        <v>192</v>
      </c>
      <c r="B253" t="s">
        <v>711</v>
      </c>
      <c r="C253" t="s">
        <v>193</v>
      </c>
      <c r="D253" t="s">
        <v>213</v>
      </c>
      <c r="E253" t="s">
        <v>946</v>
      </c>
      <c r="F253" t="s">
        <v>214</v>
      </c>
      <c r="G253" t="s">
        <v>213</v>
      </c>
      <c r="H253" s="1">
        <v>1153807</v>
      </c>
      <c r="I253" s="1">
        <v>966206</v>
      </c>
      <c r="J253" s="1">
        <v>778416</v>
      </c>
      <c r="K253" s="1">
        <v>346142</v>
      </c>
      <c r="L253" s="1">
        <v>337202.778249547</v>
      </c>
      <c r="M253" s="1">
        <v>368474.26666666666</v>
      </c>
      <c r="N253" s="1">
        <v>672848</v>
      </c>
      <c r="O253" s="1">
        <v>1153807</v>
      </c>
      <c r="P253" s="1">
        <v>1006034</v>
      </c>
      <c r="Q253" s="1">
        <v>1153807</v>
      </c>
      <c r="R253" s="1">
        <v>1085745.0666666667</v>
      </c>
      <c r="S253" s="1">
        <v>465849.2</v>
      </c>
      <c r="T253" s="1">
        <v>482589</v>
      </c>
      <c r="U253" s="1">
        <v>621183</v>
      </c>
      <c r="V253" s="3">
        <f>_xlfn.XLOOKUP(Table2[[#This Row],[admin3Pcode]],'Inter-sector dataset'!F:F,'Inter-sector dataset'!Q:Q)</f>
        <v>1</v>
      </c>
      <c r="W253" s="3">
        <f>_xlfn.XLOOKUP(Table2[[#This Row],[admin3Pcode]],'Inter-sector dataset'!F:F,'Inter-sector dataset'!R:R)</f>
        <v>0</v>
      </c>
      <c r="X253" s="1">
        <f>IFERROR(Table2[[#This Row],[Health_PIN]]*$V253,)</f>
        <v>1153807</v>
      </c>
      <c r="Y253" s="1">
        <f>IFERROR(Table2[[#This Row],[CCCM_PIN]]*$V253,)</f>
        <v>966206</v>
      </c>
      <c r="Z253" s="1">
        <f>IFERROR(Table2[[#This Row],[ERL_PIN]]*$V253,)</f>
        <v>778416</v>
      </c>
      <c r="AA253" s="1">
        <f>IFERROR(Table2[[#This Row],[NFI_PIN]]*$V253,)</f>
        <v>346142</v>
      </c>
      <c r="AB253" s="1">
        <f>IFERROR(Table2[[#This Row],[Nutrition_PIN]]*$V253,)</f>
        <v>337202.778249547</v>
      </c>
      <c r="AC253" s="1">
        <f>IFERROR(Table2[[#This Row],[Education_PIN]]*$V253,)</f>
        <v>368474.26666666666</v>
      </c>
      <c r="AD253" s="1">
        <f>IFERROR(Table2[[#This Row],[Shelter_PIN]]*$V253,)</f>
        <v>672848</v>
      </c>
      <c r="AE253" s="1">
        <f>IFERROR(Table2[[#This Row],[WASH_PIN]]*$V253,)</f>
        <v>1153807</v>
      </c>
      <c r="AF253" s="1">
        <f>IFERROR(Table2[[#This Row],[WASH_acute_PIN]]*$V253,)</f>
        <v>1006034</v>
      </c>
      <c r="AG253" s="1">
        <f>IFERROR(Table2[[#This Row],[Protection_PIN]]*$V253,)</f>
        <v>1153807</v>
      </c>
      <c r="AH253" s="1">
        <f>IFERROR(Table2[[#This Row],[Food_PIN]]*$V253,)</f>
        <v>1085745.0666666667</v>
      </c>
      <c r="AI253" s="1">
        <f>IFERROR(Table2[[#This Row],[Protection_CP_PIN]]*$V253,)</f>
        <v>465849.2</v>
      </c>
      <c r="AJ253" s="1">
        <f>IFERROR(Table2[[#This Row],[Protection_GBV_PIN]]*$V253,)</f>
        <v>482589</v>
      </c>
      <c r="AK253" s="1">
        <f>IFERROR(Table2[[#This Row],[Protection_MA_PIN]]*$V253,)</f>
        <v>621183</v>
      </c>
      <c r="AL253" s="1">
        <f>IFERROR(Table2[[#This Row],[Health_PIN]]*$W253,)</f>
        <v>0</v>
      </c>
      <c r="AM253" s="1">
        <f>IFERROR(Table2[[#This Row],[CCCM_PIN]]*$W253,)</f>
        <v>0</v>
      </c>
      <c r="AN253" s="1">
        <f>IFERROR(Table2[[#This Row],[ERL_PIN]]*$W253,)</f>
        <v>0</v>
      </c>
      <c r="AO253" s="1">
        <f>IFERROR(Table2[[#This Row],[NFI_PIN]]*$W253,)</f>
        <v>0</v>
      </c>
      <c r="AP253" s="1">
        <f>IFERROR(Table2[[#This Row],[Nutrition_PIN]]*$W253,)</f>
        <v>0</v>
      </c>
      <c r="AQ253" s="1">
        <f>IFERROR(Table2[[#This Row],[Education_PIN]]*$W253,)</f>
        <v>0</v>
      </c>
      <c r="AR253" s="1">
        <f>IFERROR(Table2[[#This Row],[Shelter_PIN]]*$W253,)</f>
        <v>0</v>
      </c>
      <c r="AS253" s="1">
        <f>IFERROR(Table2[[#This Row],[WASH_PIN]]*$W253,)</f>
        <v>0</v>
      </c>
      <c r="AT253" s="1">
        <f>IFERROR(Table2[[#This Row],[WASH_acute_PIN]]*$W253,)</f>
        <v>0</v>
      </c>
      <c r="AU253" s="1">
        <f>IFERROR(Table2[[#This Row],[Protection_PIN]]*$W253,)</f>
        <v>0</v>
      </c>
      <c r="AV253" s="1">
        <f>IFERROR(Table2[[#This Row],[Food_PIN]]*$W253,)</f>
        <v>0</v>
      </c>
      <c r="AW253" s="1">
        <f>IFERROR(Table2[[#This Row],[Protection_CP_PIN]]*$W253,)</f>
        <v>0</v>
      </c>
      <c r="AX253" s="1">
        <f>IFERROR(Table2[[#This Row],[Protection_GBV_PIN]]*$W253,)</f>
        <v>0</v>
      </c>
      <c r="AY253" s="1">
        <f>IFERROR(Table2[[#This Row],[Protection_MA_PIN]]*$W253,)</f>
        <v>0</v>
      </c>
      <c r="AZ253" s="1">
        <v>4</v>
      </c>
      <c r="BA253" s="1">
        <v>4</v>
      </c>
      <c r="BB253" s="1">
        <v>5</v>
      </c>
      <c r="BC253" s="1">
        <v>3</v>
      </c>
      <c r="BD253" s="1">
        <v>3</v>
      </c>
      <c r="BE253" s="1">
        <v>5</v>
      </c>
      <c r="BF253" s="1">
        <v>5</v>
      </c>
      <c r="BG253" s="1">
        <v>5</v>
      </c>
      <c r="BH253" s="1">
        <v>4</v>
      </c>
      <c r="BI253" s="1">
        <v>5</v>
      </c>
      <c r="BJ253" s="1">
        <v>4</v>
      </c>
      <c r="BK253" s="1">
        <v>4</v>
      </c>
      <c r="BL253" s="1">
        <v>4</v>
      </c>
    </row>
    <row r="254" spans="1:64" x14ac:dyDescent="0.35">
      <c r="A254" t="s">
        <v>104</v>
      </c>
      <c r="B254" t="s">
        <v>677</v>
      </c>
      <c r="C254" t="s">
        <v>105</v>
      </c>
      <c r="D254" t="s">
        <v>622</v>
      </c>
      <c r="E254" t="s">
        <v>947</v>
      </c>
      <c r="F254" t="s">
        <v>623</v>
      </c>
      <c r="G254" t="s">
        <v>622</v>
      </c>
      <c r="H254" s="1">
        <v>289.5</v>
      </c>
      <c r="I254" s="1" t="s">
        <v>665</v>
      </c>
      <c r="J254" s="1">
        <v>381</v>
      </c>
      <c r="K254" s="1">
        <v>77</v>
      </c>
      <c r="L254" s="1">
        <v>70.693068756319491</v>
      </c>
      <c r="M254" s="1">
        <v>48.151424915265977</v>
      </c>
      <c r="N254" s="1">
        <v>232</v>
      </c>
      <c r="O254" s="1">
        <v>4.0631578947368423</v>
      </c>
      <c r="P254" s="1">
        <v>0</v>
      </c>
      <c r="Q254" s="1">
        <v>386</v>
      </c>
      <c r="R254" s="1">
        <v>23.16</v>
      </c>
      <c r="S254" s="1">
        <v>106.19999999999999</v>
      </c>
      <c r="T254" s="1">
        <v>196</v>
      </c>
      <c r="U254" s="1">
        <v>386</v>
      </c>
      <c r="V254" s="3">
        <f>_xlfn.XLOOKUP(Table2[[#This Row],[admin3Pcode]],'Inter-sector dataset'!F:F,'Inter-sector dataset'!Q:Q)</f>
        <v>0</v>
      </c>
      <c r="W254" s="3">
        <f>_xlfn.XLOOKUP(Table2[[#This Row],[admin3Pcode]],'Inter-sector dataset'!F:F,'Inter-sector dataset'!R:R)</f>
        <v>0</v>
      </c>
      <c r="X254" s="1">
        <f>IFERROR(Table2[[#This Row],[Health_PIN]]*$V254,)</f>
        <v>0</v>
      </c>
      <c r="Y254" s="1">
        <f>IFERROR(Table2[[#This Row],[CCCM_PIN]]*$V254,)</f>
        <v>0</v>
      </c>
      <c r="Z254" s="1">
        <f>IFERROR(Table2[[#This Row],[ERL_PIN]]*$V254,)</f>
        <v>0</v>
      </c>
      <c r="AA254" s="1">
        <f>IFERROR(Table2[[#This Row],[NFI_PIN]]*$V254,)</f>
        <v>0</v>
      </c>
      <c r="AB254" s="1">
        <f>IFERROR(Table2[[#This Row],[Nutrition_PIN]]*$V254,)</f>
        <v>0</v>
      </c>
      <c r="AC254" s="1">
        <f>IFERROR(Table2[[#This Row],[Education_PIN]]*$V254,)</f>
        <v>0</v>
      </c>
      <c r="AD254" s="1">
        <f>IFERROR(Table2[[#This Row],[Shelter_PIN]]*$V254,)</f>
        <v>0</v>
      </c>
      <c r="AE254" s="1">
        <f>IFERROR(Table2[[#This Row],[WASH_PIN]]*$V254,)</f>
        <v>0</v>
      </c>
      <c r="AF254" s="1">
        <f>IFERROR(Table2[[#This Row],[WASH_acute_PIN]]*$V254,)</f>
        <v>0</v>
      </c>
      <c r="AG254" s="1">
        <f>IFERROR(Table2[[#This Row],[Protection_PIN]]*$V254,)</f>
        <v>0</v>
      </c>
      <c r="AH254" s="1">
        <f>IFERROR(Table2[[#This Row],[Food_PIN]]*$V254,)</f>
        <v>0</v>
      </c>
      <c r="AI254" s="1">
        <f>IFERROR(Table2[[#This Row],[Protection_CP_PIN]]*$V254,)</f>
        <v>0</v>
      </c>
      <c r="AJ254" s="1">
        <f>IFERROR(Table2[[#This Row],[Protection_GBV_PIN]]*$V254,)</f>
        <v>0</v>
      </c>
      <c r="AK254" s="1">
        <f>IFERROR(Table2[[#This Row],[Protection_MA_PIN]]*$V254,)</f>
        <v>0</v>
      </c>
      <c r="AL254" s="1">
        <f>IFERROR(Table2[[#This Row],[Health_PIN]]*$W254,)</f>
        <v>0</v>
      </c>
      <c r="AM254" s="1">
        <f>IFERROR(Table2[[#This Row],[CCCM_PIN]]*$W254,)</f>
        <v>0</v>
      </c>
      <c r="AN254" s="1">
        <f>IFERROR(Table2[[#This Row],[ERL_PIN]]*$W254,)</f>
        <v>0</v>
      </c>
      <c r="AO254" s="1">
        <f>IFERROR(Table2[[#This Row],[NFI_PIN]]*$W254,)</f>
        <v>0</v>
      </c>
      <c r="AP254" s="1">
        <f>IFERROR(Table2[[#This Row],[Nutrition_PIN]]*$W254,)</f>
        <v>0</v>
      </c>
      <c r="AQ254" s="1">
        <f>IFERROR(Table2[[#This Row],[Education_PIN]]*$W254,)</f>
        <v>0</v>
      </c>
      <c r="AR254" s="1">
        <f>IFERROR(Table2[[#This Row],[Shelter_PIN]]*$W254,)</f>
        <v>0</v>
      </c>
      <c r="AS254" s="1">
        <f>IFERROR(Table2[[#This Row],[WASH_PIN]]*$W254,)</f>
        <v>0</v>
      </c>
      <c r="AT254" s="1">
        <f>IFERROR(Table2[[#This Row],[WASH_acute_PIN]]*$W254,)</f>
        <v>0</v>
      </c>
      <c r="AU254" s="1">
        <f>IFERROR(Table2[[#This Row],[Protection_PIN]]*$W254,)</f>
        <v>0</v>
      </c>
      <c r="AV254" s="1">
        <f>IFERROR(Table2[[#This Row],[Food_PIN]]*$W254,)</f>
        <v>0</v>
      </c>
      <c r="AW254" s="1">
        <f>IFERROR(Table2[[#This Row],[Protection_CP_PIN]]*$W254,)</f>
        <v>0</v>
      </c>
      <c r="AX254" s="1">
        <f>IFERROR(Table2[[#This Row],[Protection_GBV_PIN]]*$W254,)</f>
        <v>0</v>
      </c>
      <c r="AY254" s="1">
        <f>IFERROR(Table2[[#This Row],[Protection_MA_PIN]]*$W254,)</f>
        <v>0</v>
      </c>
      <c r="AZ254" s="1">
        <v>4</v>
      </c>
      <c r="BA254" s="1">
        <v>3</v>
      </c>
      <c r="BB254" s="1">
        <v>4</v>
      </c>
      <c r="BC254" s="1">
        <v>2</v>
      </c>
      <c r="BD254" s="1">
        <v>3</v>
      </c>
      <c r="BE254" s="1">
        <v>4</v>
      </c>
      <c r="BF254" s="1">
        <v>5</v>
      </c>
      <c r="BG254" s="1">
        <v>4</v>
      </c>
      <c r="BH254" s="1">
        <v>5</v>
      </c>
      <c r="BI254" s="1">
        <v>5</v>
      </c>
      <c r="BJ254" s="1">
        <v>3</v>
      </c>
      <c r="BK254" s="1" t="s">
        <v>665</v>
      </c>
      <c r="BL254" s="1">
        <v>2</v>
      </c>
    </row>
    <row r="255" spans="1:64" x14ac:dyDescent="0.35">
      <c r="A255" t="s">
        <v>200</v>
      </c>
      <c r="B255" t="s">
        <v>683</v>
      </c>
      <c r="C255" t="s">
        <v>201</v>
      </c>
      <c r="D255" t="s">
        <v>448</v>
      </c>
      <c r="E255" t="s">
        <v>948</v>
      </c>
      <c r="F255" t="s">
        <v>449</v>
      </c>
      <c r="G255" t="s">
        <v>448</v>
      </c>
      <c r="H255" s="1">
        <v>10652.25</v>
      </c>
      <c r="I255" s="1">
        <v>122</v>
      </c>
      <c r="J255" s="1">
        <v>11110</v>
      </c>
      <c r="K255" s="1">
        <v>2841</v>
      </c>
      <c r="L255" s="1">
        <v>3142.4870710158593</v>
      </c>
      <c r="M255" s="1">
        <v>7816.0216216216222</v>
      </c>
      <c r="N255" s="1">
        <v>2841</v>
      </c>
      <c r="O255" s="1">
        <v>13507.35102098296</v>
      </c>
      <c r="P255" s="1">
        <v>710</v>
      </c>
      <c r="Q255" s="1">
        <v>14203</v>
      </c>
      <c r="R255" s="1">
        <v>8840.0414937759342</v>
      </c>
      <c r="S255" s="1">
        <v>2591</v>
      </c>
      <c r="T255" s="1">
        <v>8644</v>
      </c>
      <c r="U255" s="1">
        <v>13908</v>
      </c>
      <c r="V255" s="3">
        <f>_xlfn.XLOOKUP(Table2[[#This Row],[admin3Pcode]],'Inter-sector dataset'!F:F,'Inter-sector dataset'!Q:Q)</f>
        <v>0</v>
      </c>
      <c r="W255" s="3">
        <f>_xlfn.XLOOKUP(Table2[[#This Row],[admin3Pcode]],'Inter-sector dataset'!F:F,'Inter-sector dataset'!R:R)</f>
        <v>0</v>
      </c>
      <c r="X255" s="1">
        <f>IFERROR(Table2[[#This Row],[Health_PIN]]*$V255,)</f>
        <v>0</v>
      </c>
      <c r="Y255" s="1">
        <f>IFERROR(Table2[[#This Row],[CCCM_PIN]]*$V255,)</f>
        <v>0</v>
      </c>
      <c r="Z255" s="1">
        <f>IFERROR(Table2[[#This Row],[ERL_PIN]]*$V255,)</f>
        <v>0</v>
      </c>
      <c r="AA255" s="1">
        <f>IFERROR(Table2[[#This Row],[NFI_PIN]]*$V255,)</f>
        <v>0</v>
      </c>
      <c r="AB255" s="1">
        <f>IFERROR(Table2[[#This Row],[Nutrition_PIN]]*$V255,)</f>
        <v>0</v>
      </c>
      <c r="AC255" s="1">
        <f>IFERROR(Table2[[#This Row],[Education_PIN]]*$V255,)</f>
        <v>0</v>
      </c>
      <c r="AD255" s="1">
        <f>IFERROR(Table2[[#This Row],[Shelter_PIN]]*$V255,)</f>
        <v>0</v>
      </c>
      <c r="AE255" s="1">
        <f>IFERROR(Table2[[#This Row],[WASH_PIN]]*$V255,)</f>
        <v>0</v>
      </c>
      <c r="AF255" s="1">
        <f>IFERROR(Table2[[#This Row],[WASH_acute_PIN]]*$V255,)</f>
        <v>0</v>
      </c>
      <c r="AG255" s="1">
        <f>IFERROR(Table2[[#This Row],[Protection_PIN]]*$V255,)</f>
        <v>0</v>
      </c>
      <c r="AH255" s="1">
        <f>IFERROR(Table2[[#This Row],[Food_PIN]]*$V255,)</f>
        <v>0</v>
      </c>
      <c r="AI255" s="1">
        <f>IFERROR(Table2[[#This Row],[Protection_CP_PIN]]*$V255,)</f>
        <v>0</v>
      </c>
      <c r="AJ255" s="1">
        <f>IFERROR(Table2[[#This Row],[Protection_GBV_PIN]]*$V255,)</f>
        <v>0</v>
      </c>
      <c r="AK255" s="1">
        <f>IFERROR(Table2[[#This Row],[Protection_MA_PIN]]*$V255,)</f>
        <v>0</v>
      </c>
      <c r="AL255" s="1">
        <f>IFERROR(Table2[[#This Row],[Health_PIN]]*$W255,)</f>
        <v>0</v>
      </c>
      <c r="AM255" s="1">
        <f>IFERROR(Table2[[#This Row],[CCCM_PIN]]*$W255,)</f>
        <v>0</v>
      </c>
      <c r="AN255" s="1">
        <f>IFERROR(Table2[[#This Row],[ERL_PIN]]*$W255,)</f>
        <v>0</v>
      </c>
      <c r="AO255" s="1">
        <f>IFERROR(Table2[[#This Row],[NFI_PIN]]*$W255,)</f>
        <v>0</v>
      </c>
      <c r="AP255" s="1">
        <f>IFERROR(Table2[[#This Row],[Nutrition_PIN]]*$W255,)</f>
        <v>0</v>
      </c>
      <c r="AQ255" s="1">
        <f>IFERROR(Table2[[#This Row],[Education_PIN]]*$W255,)</f>
        <v>0</v>
      </c>
      <c r="AR255" s="1">
        <f>IFERROR(Table2[[#This Row],[Shelter_PIN]]*$W255,)</f>
        <v>0</v>
      </c>
      <c r="AS255" s="1">
        <f>IFERROR(Table2[[#This Row],[WASH_PIN]]*$W255,)</f>
        <v>0</v>
      </c>
      <c r="AT255" s="1">
        <f>IFERROR(Table2[[#This Row],[WASH_acute_PIN]]*$W255,)</f>
        <v>0</v>
      </c>
      <c r="AU255" s="1">
        <f>IFERROR(Table2[[#This Row],[Protection_PIN]]*$W255,)</f>
        <v>0</v>
      </c>
      <c r="AV255" s="1">
        <f>IFERROR(Table2[[#This Row],[Food_PIN]]*$W255,)</f>
        <v>0</v>
      </c>
      <c r="AW255" s="1">
        <f>IFERROR(Table2[[#This Row],[Protection_CP_PIN]]*$W255,)</f>
        <v>0</v>
      </c>
      <c r="AX255" s="1">
        <f>IFERROR(Table2[[#This Row],[Protection_GBV_PIN]]*$W255,)</f>
        <v>0</v>
      </c>
      <c r="AY255" s="1">
        <f>IFERROR(Table2[[#This Row],[Protection_MA_PIN]]*$W255,)</f>
        <v>0</v>
      </c>
      <c r="AZ255" s="1">
        <v>2</v>
      </c>
      <c r="BA255" s="1">
        <v>3</v>
      </c>
      <c r="BB255" s="1">
        <v>4</v>
      </c>
      <c r="BC255" s="1">
        <v>2</v>
      </c>
      <c r="BD255" s="1">
        <v>3</v>
      </c>
      <c r="BE255" s="1">
        <v>4</v>
      </c>
      <c r="BF255" s="1">
        <v>5</v>
      </c>
      <c r="BG255" s="1">
        <v>5</v>
      </c>
      <c r="BH255" s="1">
        <v>5</v>
      </c>
      <c r="BI255" s="1">
        <v>5</v>
      </c>
      <c r="BJ255" s="1">
        <v>3</v>
      </c>
      <c r="BK255" s="1">
        <v>4</v>
      </c>
      <c r="BL255" s="1">
        <v>3</v>
      </c>
    </row>
    <row r="256" spans="1:64" x14ac:dyDescent="0.35">
      <c r="A256" t="s">
        <v>104</v>
      </c>
      <c r="B256" t="s">
        <v>677</v>
      </c>
      <c r="C256" t="s">
        <v>105</v>
      </c>
      <c r="D256" t="s">
        <v>245</v>
      </c>
      <c r="E256" t="s">
        <v>949</v>
      </c>
      <c r="F256" t="s">
        <v>246</v>
      </c>
      <c r="G256" t="s">
        <v>245</v>
      </c>
      <c r="H256" s="1">
        <v>7352</v>
      </c>
      <c r="I256" s="1" t="s">
        <v>665</v>
      </c>
      <c r="J256" s="1">
        <v>14704</v>
      </c>
      <c r="K256" s="1">
        <v>2941</v>
      </c>
      <c r="L256" s="1">
        <v>3864.1064465815243</v>
      </c>
      <c r="M256" s="1">
        <v>7110.0228002180329</v>
      </c>
      <c r="N256" s="1">
        <v>6538</v>
      </c>
      <c r="O256" s="1">
        <v>14704</v>
      </c>
      <c r="P256" s="1">
        <v>14704</v>
      </c>
      <c r="Q256" s="1">
        <v>14704</v>
      </c>
      <c r="R256" s="1">
        <v>13097.680672268907</v>
      </c>
      <c r="S256" s="1">
        <v>2132.4</v>
      </c>
      <c r="T256" s="1">
        <v>8338</v>
      </c>
      <c r="U256" s="1">
        <v>12164</v>
      </c>
      <c r="V256" s="3">
        <f>_xlfn.XLOOKUP(Table2[[#This Row],[admin3Pcode]],'Inter-sector dataset'!F:F,'Inter-sector dataset'!Q:Q)</f>
        <v>0</v>
      </c>
      <c r="W256" s="3">
        <f>_xlfn.XLOOKUP(Table2[[#This Row],[admin3Pcode]],'Inter-sector dataset'!F:F,'Inter-sector dataset'!R:R)</f>
        <v>0</v>
      </c>
      <c r="X256" s="1">
        <f>IFERROR(Table2[[#This Row],[Health_PIN]]*$V256,)</f>
        <v>0</v>
      </c>
      <c r="Y256" s="1">
        <f>IFERROR(Table2[[#This Row],[CCCM_PIN]]*$V256,)</f>
        <v>0</v>
      </c>
      <c r="Z256" s="1">
        <f>IFERROR(Table2[[#This Row],[ERL_PIN]]*$V256,)</f>
        <v>0</v>
      </c>
      <c r="AA256" s="1">
        <f>IFERROR(Table2[[#This Row],[NFI_PIN]]*$V256,)</f>
        <v>0</v>
      </c>
      <c r="AB256" s="1">
        <f>IFERROR(Table2[[#This Row],[Nutrition_PIN]]*$V256,)</f>
        <v>0</v>
      </c>
      <c r="AC256" s="1">
        <f>IFERROR(Table2[[#This Row],[Education_PIN]]*$V256,)</f>
        <v>0</v>
      </c>
      <c r="AD256" s="1">
        <f>IFERROR(Table2[[#This Row],[Shelter_PIN]]*$V256,)</f>
        <v>0</v>
      </c>
      <c r="AE256" s="1">
        <f>IFERROR(Table2[[#This Row],[WASH_PIN]]*$V256,)</f>
        <v>0</v>
      </c>
      <c r="AF256" s="1">
        <f>IFERROR(Table2[[#This Row],[WASH_acute_PIN]]*$V256,)</f>
        <v>0</v>
      </c>
      <c r="AG256" s="1">
        <f>IFERROR(Table2[[#This Row],[Protection_PIN]]*$V256,)</f>
        <v>0</v>
      </c>
      <c r="AH256" s="1">
        <f>IFERROR(Table2[[#This Row],[Food_PIN]]*$V256,)</f>
        <v>0</v>
      </c>
      <c r="AI256" s="1">
        <f>IFERROR(Table2[[#This Row],[Protection_CP_PIN]]*$V256,)</f>
        <v>0</v>
      </c>
      <c r="AJ256" s="1">
        <f>IFERROR(Table2[[#This Row],[Protection_GBV_PIN]]*$V256,)</f>
        <v>0</v>
      </c>
      <c r="AK256" s="1">
        <f>IFERROR(Table2[[#This Row],[Protection_MA_PIN]]*$V256,)</f>
        <v>0</v>
      </c>
      <c r="AL256" s="1">
        <f>IFERROR(Table2[[#This Row],[Health_PIN]]*$W256,)</f>
        <v>0</v>
      </c>
      <c r="AM256" s="1">
        <f>IFERROR(Table2[[#This Row],[CCCM_PIN]]*$W256,)</f>
        <v>0</v>
      </c>
      <c r="AN256" s="1">
        <f>IFERROR(Table2[[#This Row],[ERL_PIN]]*$W256,)</f>
        <v>0</v>
      </c>
      <c r="AO256" s="1">
        <f>IFERROR(Table2[[#This Row],[NFI_PIN]]*$W256,)</f>
        <v>0</v>
      </c>
      <c r="AP256" s="1">
        <f>IFERROR(Table2[[#This Row],[Nutrition_PIN]]*$W256,)</f>
        <v>0</v>
      </c>
      <c r="AQ256" s="1">
        <f>IFERROR(Table2[[#This Row],[Education_PIN]]*$W256,)</f>
        <v>0</v>
      </c>
      <c r="AR256" s="1">
        <f>IFERROR(Table2[[#This Row],[Shelter_PIN]]*$W256,)</f>
        <v>0</v>
      </c>
      <c r="AS256" s="1">
        <f>IFERROR(Table2[[#This Row],[WASH_PIN]]*$W256,)</f>
        <v>0</v>
      </c>
      <c r="AT256" s="1">
        <f>IFERROR(Table2[[#This Row],[WASH_acute_PIN]]*$W256,)</f>
        <v>0</v>
      </c>
      <c r="AU256" s="1">
        <f>IFERROR(Table2[[#This Row],[Protection_PIN]]*$W256,)</f>
        <v>0</v>
      </c>
      <c r="AV256" s="1">
        <f>IFERROR(Table2[[#This Row],[Food_PIN]]*$W256,)</f>
        <v>0</v>
      </c>
      <c r="AW256" s="1">
        <f>IFERROR(Table2[[#This Row],[Protection_CP_PIN]]*$W256,)</f>
        <v>0</v>
      </c>
      <c r="AX256" s="1">
        <f>IFERROR(Table2[[#This Row],[Protection_GBV_PIN]]*$W256,)</f>
        <v>0</v>
      </c>
      <c r="AY256" s="1">
        <f>IFERROR(Table2[[#This Row],[Protection_MA_PIN]]*$W256,)</f>
        <v>0</v>
      </c>
      <c r="AZ256" s="1">
        <v>4</v>
      </c>
      <c r="BA256" s="1">
        <v>3</v>
      </c>
      <c r="BB256" s="1">
        <v>4</v>
      </c>
      <c r="BC256" s="1">
        <v>2</v>
      </c>
      <c r="BD256" s="1">
        <v>4</v>
      </c>
      <c r="BE256" s="1">
        <v>3</v>
      </c>
      <c r="BF256" s="1">
        <v>5</v>
      </c>
      <c r="BG256" s="1">
        <v>3</v>
      </c>
      <c r="BH256" s="1">
        <v>5</v>
      </c>
      <c r="BI256" s="1">
        <v>5</v>
      </c>
      <c r="BJ256" s="1">
        <v>4</v>
      </c>
      <c r="BK256" s="1" t="s">
        <v>665</v>
      </c>
      <c r="BL256" s="1">
        <v>5</v>
      </c>
    </row>
    <row r="257" spans="1:64" x14ac:dyDescent="0.35">
      <c r="A257" t="s">
        <v>192</v>
      </c>
      <c r="B257" t="s">
        <v>711</v>
      </c>
      <c r="C257" t="s">
        <v>193</v>
      </c>
      <c r="D257" t="s">
        <v>372</v>
      </c>
      <c r="E257" t="s">
        <v>950</v>
      </c>
      <c r="F257" t="s">
        <v>373</v>
      </c>
      <c r="G257" t="s">
        <v>372</v>
      </c>
      <c r="H257" s="1">
        <v>18157.5</v>
      </c>
      <c r="I257" s="1" t="s">
        <v>665</v>
      </c>
      <c r="J257" s="1">
        <v>13375</v>
      </c>
      <c r="K257" s="1">
        <v>3886</v>
      </c>
      <c r="L257" s="1">
        <v>6602.2104652415073</v>
      </c>
      <c r="M257" s="1">
        <v>4936.4419385415104</v>
      </c>
      <c r="N257" s="1">
        <v>6785</v>
      </c>
      <c r="O257" s="1">
        <v>20539.196219010482</v>
      </c>
      <c r="P257" s="1">
        <v>1780</v>
      </c>
      <c r="Q257" s="1">
        <v>24210</v>
      </c>
      <c r="R257" s="1">
        <v>18102.972972972973</v>
      </c>
      <c r="S257" s="1">
        <v>10391.799999999999</v>
      </c>
      <c r="T257" s="1">
        <v>12401</v>
      </c>
      <c r="U257" s="1">
        <v>24210</v>
      </c>
      <c r="V257" s="3">
        <f>_xlfn.XLOOKUP(Table2[[#This Row],[admin3Pcode]],'Inter-sector dataset'!F:F,'Inter-sector dataset'!Q:Q)</f>
        <v>0.66</v>
      </c>
      <c r="W257" s="3">
        <f>_xlfn.XLOOKUP(Table2[[#This Row],[admin3Pcode]],'Inter-sector dataset'!F:F,'Inter-sector dataset'!R:R)</f>
        <v>0</v>
      </c>
      <c r="X257" s="1">
        <f>IFERROR(Table2[[#This Row],[Health_PIN]]*$V257,)</f>
        <v>11983.95</v>
      </c>
      <c r="Y257" s="1">
        <f>IFERROR(Table2[[#This Row],[CCCM_PIN]]*$V257,)</f>
        <v>0</v>
      </c>
      <c r="Z257" s="1">
        <f>IFERROR(Table2[[#This Row],[ERL_PIN]]*$V257,)</f>
        <v>8827.5</v>
      </c>
      <c r="AA257" s="1">
        <f>IFERROR(Table2[[#This Row],[NFI_PIN]]*$V257,)</f>
        <v>2564.7600000000002</v>
      </c>
      <c r="AB257" s="1">
        <f>IFERROR(Table2[[#This Row],[Nutrition_PIN]]*$V257,)</f>
        <v>4357.4589070593947</v>
      </c>
      <c r="AC257" s="1">
        <f>IFERROR(Table2[[#This Row],[Education_PIN]]*$V257,)</f>
        <v>3258.0516794373971</v>
      </c>
      <c r="AD257" s="1">
        <f>IFERROR(Table2[[#This Row],[Shelter_PIN]]*$V257,)</f>
        <v>4478.1000000000004</v>
      </c>
      <c r="AE257" s="1">
        <f>IFERROR(Table2[[#This Row],[WASH_PIN]]*$V257,)</f>
        <v>13555.869504546919</v>
      </c>
      <c r="AF257" s="1">
        <f>IFERROR(Table2[[#This Row],[WASH_acute_PIN]]*$V257,)</f>
        <v>1174.8</v>
      </c>
      <c r="AG257" s="1">
        <f>IFERROR(Table2[[#This Row],[Protection_PIN]]*$V257,)</f>
        <v>15978.6</v>
      </c>
      <c r="AH257" s="1">
        <f>IFERROR(Table2[[#This Row],[Food_PIN]]*$V257,)</f>
        <v>11947.962162162163</v>
      </c>
      <c r="AI257" s="1">
        <f>IFERROR(Table2[[#This Row],[Protection_CP_PIN]]*$V257,)</f>
        <v>6858.5879999999997</v>
      </c>
      <c r="AJ257" s="1">
        <f>IFERROR(Table2[[#This Row],[Protection_GBV_PIN]]*$V257,)</f>
        <v>8184.6600000000008</v>
      </c>
      <c r="AK257" s="1">
        <f>IFERROR(Table2[[#This Row],[Protection_MA_PIN]]*$V257,)</f>
        <v>15978.6</v>
      </c>
      <c r="AL257" s="1">
        <f>IFERROR(Table2[[#This Row],[Health_PIN]]*$W257,)</f>
        <v>0</v>
      </c>
      <c r="AM257" s="1">
        <f>IFERROR(Table2[[#This Row],[CCCM_PIN]]*$W257,)</f>
        <v>0</v>
      </c>
      <c r="AN257" s="1">
        <f>IFERROR(Table2[[#This Row],[ERL_PIN]]*$W257,)</f>
        <v>0</v>
      </c>
      <c r="AO257" s="1">
        <f>IFERROR(Table2[[#This Row],[NFI_PIN]]*$W257,)</f>
        <v>0</v>
      </c>
      <c r="AP257" s="1">
        <f>IFERROR(Table2[[#This Row],[Nutrition_PIN]]*$W257,)</f>
        <v>0</v>
      </c>
      <c r="AQ257" s="1">
        <f>IFERROR(Table2[[#This Row],[Education_PIN]]*$W257,)</f>
        <v>0</v>
      </c>
      <c r="AR257" s="1">
        <f>IFERROR(Table2[[#This Row],[Shelter_PIN]]*$W257,)</f>
        <v>0</v>
      </c>
      <c r="AS257" s="1">
        <f>IFERROR(Table2[[#This Row],[WASH_PIN]]*$W257,)</f>
        <v>0</v>
      </c>
      <c r="AT257" s="1">
        <f>IFERROR(Table2[[#This Row],[WASH_acute_PIN]]*$W257,)</f>
        <v>0</v>
      </c>
      <c r="AU257" s="1">
        <f>IFERROR(Table2[[#This Row],[Protection_PIN]]*$W257,)</f>
        <v>0</v>
      </c>
      <c r="AV257" s="1">
        <f>IFERROR(Table2[[#This Row],[Food_PIN]]*$W257,)</f>
        <v>0</v>
      </c>
      <c r="AW257" s="1">
        <f>IFERROR(Table2[[#This Row],[Protection_CP_PIN]]*$W257,)</f>
        <v>0</v>
      </c>
      <c r="AX257" s="1">
        <f>IFERROR(Table2[[#This Row],[Protection_GBV_PIN]]*$W257,)</f>
        <v>0</v>
      </c>
      <c r="AY257" s="1">
        <f>IFERROR(Table2[[#This Row],[Protection_MA_PIN]]*$W257,)</f>
        <v>0</v>
      </c>
      <c r="AZ257" s="1">
        <v>3</v>
      </c>
      <c r="BA257" s="1">
        <v>3</v>
      </c>
      <c r="BB257" s="1">
        <v>4</v>
      </c>
      <c r="BC257" s="1">
        <v>2</v>
      </c>
      <c r="BD257" s="1">
        <v>3</v>
      </c>
      <c r="BE257" s="1">
        <v>4</v>
      </c>
      <c r="BF257" s="1">
        <v>5</v>
      </c>
      <c r="BG257" s="1">
        <v>5</v>
      </c>
      <c r="BH257" s="1">
        <v>5</v>
      </c>
      <c r="BI257" s="1">
        <v>5</v>
      </c>
      <c r="BJ257" s="1">
        <v>4</v>
      </c>
      <c r="BK257" s="1" t="s">
        <v>665</v>
      </c>
      <c r="BL257" s="1">
        <v>3</v>
      </c>
    </row>
    <row r="258" spans="1:64" x14ac:dyDescent="0.35">
      <c r="A258" t="s">
        <v>54</v>
      </c>
      <c r="B258" t="s">
        <v>709</v>
      </c>
      <c r="C258" t="s">
        <v>55</v>
      </c>
      <c r="D258" t="s">
        <v>225</v>
      </c>
      <c r="E258" t="s">
        <v>951</v>
      </c>
      <c r="F258" t="s">
        <v>226</v>
      </c>
      <c r="G258" t="s">
        <v>952</v>
      </c>
      <c r="H258" s="1">
        <v>18624.75</v>
      </c>
      <c r="I258" s="1" t="s">
        <v>665</v>
      </c>
      <c r="J258" s="1">
        <v>13261</v>
      </c>
      <c r="K258" s="1">
        <v>3129</v>
      </c>
      <c r="L258" s="1">
        <v>10487.836383213013</v>
      </c>
      <c r="M258" s="1">
        <v>4454.6357536099031</v>
      </c>
      <c r="N258" s="1">
        <v>5858</v>
      </c>
      <c r="O258" s="1">
        <v>24478.457902628896</v>
      </c>
      <c r="P258" s="1">
        <v>6943</v>
      </c>
      <c r="Q258" s="1">
        <v>24833</v>
      </c>
      <c r="R258" s="1">
        <v>9850.4233333333323</v>
      </c>
      <c r="S258" s="1">
        <v>12399.800000000001</v>
      </c>
      <c r="T258" s="1">
        <v>7010</v>
      </c>
      <c r="U258" s="1">
        <v>24833</v>
      </c>
      <c r="V258" s="3">
        <f>_xlfn.XLOOKUP(Table2[[#This Row],[admin3Pcode]],'Inter-sector dataset'!F:F,'Inter-sector dataset'!Q:Q)</f>
        <v>1</v>
      </c>
      <c r="W258" s="3">
        <f>_xlfn.XLOOKUP(Table2[[#This Row],[admin3Pcode]],'Inter-sector dataset'!F:F,'Inter-sector dataset'!R:R)</f>
        <v>0</v>
      </c>
      <c r="X258" s="1">
        <f>IFERROR(Table2[[#This Row],[Health_PIN]]*$V258,)</f>
        <v>18624.75</v>
      </c>
      <c r="Y258" s="1">
        <f>IFERROR(Table2[[#This Row],[CCCM_PIN]]*$V258,)</f>
        <v>0</v>
      </c>
      <c r="Z258" s="1">
        <f>IFERROR(Table2[[#This Row],[ERL_PIN]]*$V258,)</f>
        <v>13261</v>
      </c>
      <c r="AA258" s="1">
        <f>IFERROR(Table2[[#This Row],[NFI_PIN]]*$V258,)</f>
        <v>3129</v>
      </c>
      <c r="AB258" s="1">
        <f>IFERROR(Table2[[#This Row],[Nutrition_PIN]]*$V258,)</f>
        <v>10487.836383213013</v>
      </c>
      <c r="AC258" s="1">
        <f>IFERROR(Table2[[#This Row],[Education_PIN]]*$V258,)</f>
        <v>4454.6357536099031</v>
      </c>
      <c r="AD258" s="1">
        <f>IFERROR(Table2[[#This Row],[Shelter_PIN]]*$V258,)</f>
        <v>5858</v>
      </c>
      <c r="AE258" s="1">
        <f>IFERROR(Table2[[#This Row],[WASH_PIN]]*$V258,)</f>
        <v>24478.457902628896</v>
      </c>
      <c r="AF258" s="1">
        <f>IFERROR(Table2[[#This Row],[WASH_acute_PIN]]*$V258,)</f>
        <v>6943</v>
      </c>
      <c r="AG258" s="1">
        <f>IFERROR(Table2[[#This Row],[Protection_PIN]]*$V258,)</f>
        <v>24833</v>
      </c>
      <c r="AH258" s="1">
        <f>IFERROR(Table2[[#This Row],[Food_PIN]]*$V258,)</f>
        <v>9850.4233333333323</v>
      </c>
      <c r="AI258" s="1">
        <f>IFERROR(Table2[[#This Row],[Protection_CP_PIN]]*$V258,)</f>
        <v>12399.800000000001</v>
      </c>
      <c r="AJ258" s="1">
        <f>IFERROR(Table2[[#This Row],[Protection_GBV_PIN]]*$V258,)</f>
        <v>7010</v>
      </c>
      <c r="AK258" s="1">
        <f>IFERROR(Table2[[#This Row],[Protection_MA_PIN]]*$V258,)</f>
        <v>24833</v>
      </c>
      <c r="AL258" s="1">
        <f>IFERROR(Table2[[#This Row],[Health_PIN]]*$W258,)</f>
        <v>0</v>
      </c>
      <c r="AM258" s="1">
        <f>IFERROR(Table2[[#This Row],[CCCM_PIN]]*$W258,)</f>
        <v>0</v>
      </c>
      <c r="AN258" s="1">
        <f>IFERROR(Table2[[#This Row],[ERL_PIN]]*$W258,)</f>
        <v>0</v>
      </c>
      <c r="AO258" s="1">
        <f>IFERROR(Table2[[#This Row],[NFI_PIN]]*$W258,)</f>
        <v>0</v>
      </c>
      <c r="AP258" s="1">
        <f>IFERROR(Table2[[#This Row],[Nutrition_PIN]]*$W258,)</f>
        <v>0</v>
      </c>
      <c r="AQ258" s="1">
        <f>IFERROR(Table2[[#This Row],[Education_PIN]]*$W258,)</f>
        <v>0</v>
      </c>
      <c r="AR258" s="1">
        <f>IFERROR(Table2[[#This Row],[Shelter_PIN]]*$W258,)</f>
        <v>0</v>
      </c>
      <c r="AS258" s="1">
        <f>IFERROR(Table2[[#This Row],[WASH_PIN]]*$W258,)</f>
        <v>0</v>
      </c>
      <c r="AT258" s="1">
        <f>IFERROR(Table2[[#This Row],[WASH_acute_PIN]]*$W258,)</f>
        <v>0</v>
      </c>
      <c r="AU258" s="1">
        <f>IFERROR(Table2[[#This Row],[Protection_PIN]]*$W258,)</f>
        <v>0</v>
      </c>
      <c r="AV258" s="1">
        <f>IFERROR(Table2[[#This Row],[Food_PIN]]*$W258,)</f>
        <v>0</v>
      </c>
      <c r="AW258" s="1">
        <f>IFERROR(Table2[[#This Row],[Protection_CP_PIN]]*$W258,)</f>
        <v>0</v>
      </c>
      <c r="AX258" s="1">
        <f>IFERROR(Table2[[#This Row],[Protection_GBV_PIN]]*$W258,)</f>
        <v>0</v>
      </c>
      <c r="AY258" s="1">
        <f>IFERROR(Table2[[#This Row],[Protection_MA_PIN]]*$W258,)</f>
        <v>0</v>
      </c>
      <c r="AZ258" s="1">
        <v>3</v>
      </c>
      <c r="BA258" s="1">
        <v>3</v>
      </c>
      <c r="BB258" s="1">
        <v>5</v>
      </c>
      <c r="BC258" s="1">
        <v>2</v>
      </c>
      <c r="BD258" s="1">
        <v>3</v>
      </c>
      <c r="BE258" s="1">
        <v>4</v>
      </c>
      <c r="BF258" s="1">
        <v>5</v>
      </c>
      <c r="BG258" s="1">
        <v>5</v>
      </c>
      <c r="BH258" s="1">
        <v>3</v>
      </c>
      <c r="BI258" s="1">
        <v>5</v>
      </c>
      <c r="BJ258" s="1">
        <v>4</v>
      </c>
      <c r="BK258" s="1" t="s">
        <v>665</v>
      </c>
      <c r="BL258" s="1">
        <v>4</v>
      </c>
    </row>
    <row r="259" spans="1:64" x14ac:dyDescent="0.35">
      <c r="A259" t="s">
        <v>200</v>
      </c>
      <c r="B259" t="s">
        <v>683</v>
      </c>
      <c r="C259" t="s">
        <v>201</v>
      </c>
      <c r="D259" t="s">
        <v>470</v>
      </c>
      <c r="E259" t="s">
        <v>953</v>
      </c>
      <c r="F259" t="s">
        <v>471</v>
      </c>
      <c r="G259" t="s">
        <v>470</v>
      </c>
      <c r="H259" s="1">
        <v>21669.75</v>
      </c>
      <c r="I259" s="1">
        <v>1751</v>
      </c>
      <c r="J259" s="1">
        <v>22365</v>
      </c>
      <c r="K259" s="1">
        <v>5779</v>
      </c>
      <c r="L259" s="1">
        <v>10745.912471001018</v>
      </c>
      <c r="M259" s="1">
        <v>14163.9</v>
      </c>
      <c r="N259" s="1">
        <v>6435</v>
      </c>
      <c r="O259" s="1">
        <v>18883.03787878788</v>
      </c>
      <c r="P259" s="1">
        <v>3445</v>
      </c>
      <c r="Q259" s="1">
        <v>28893</v>
      </c>
      <c r="R259" s="1">
        <v>18244.08943089431</v>
      </c>
      <c r="S259" s="1">
        <v>13902.800000000001</v>
      </c>
      <c r="T259" s="1">
        <v>12667</v>
      </c>
      <c r="U259" s="1">
        <v>28893</v>
      </c>
      <c r="V259" s="3">
        <f>_xlfn.XLOOKUP(Table2[[#This Row],[admin3Pcode]],'Inter-sector dataset'!F:F,'Inter-sector dataset'!Q:Q)</f>
        <v>0</v>
      </c>
      <c r="W259" s="3">
        <f>_xlfn.XLOOKUP(Table2[[#This Row],[admin3Pcode]],'Inter-sector dataset'!F:F,'Inter-sector dataset'!R:R)</f>
        <v>0</v>
      </c>
      <c r="X259" s="1">
        <f>IFERROR(Table2[[#This Row],[Health_PIN]]*$V259,)</f>
        <v>0</v>
      </c>
      <c r="Y259" s="1">
        <f>IFERROR(Table2[[#This Row],[CCCM_PIN]]*$V259,)</f>
        <v>0</v>
      </c>
      <c r="Z259" s="1">
        <f>IFERROR(Table2[[#This Row],[ERL_PIN]]*$V259,)</f>
        <v>0</v>
      </c>
      <c r="AA259" s="1">
        <f>IFERROR(Table2[[#This Row],[NFI_PIN]]*$V259,)</f>
        <v>0</v>
      </c>
      <c r="AB259" s="1">
        <f>IFERROR(Table2[[#This Row],[Nutrition_PIN]]*$V259,)</f>
        <v>0</v>
      </c>
      <c r="AC259" s="1">
        <f>IFERROR(Table2[[#This Row],[Education_PIN]]*$V259,)</f>
        <v>0</v>
      </c>
      <c r="AD259" s="1">
        <f>IFERROR(Table2[[#This Row],[Shelter_PIN]]*$V259,)</f>
        <v>0</v>
      </c>
      <c r="AE259" s="1">
        <f>IFERROR(Table2[[#This Row],[WASH_PIN]]*$V259,)</f>
        <v>0</v>
      </c>
      <c r="AF259" s="1">
        <f>IFERROR(Table2[[#This Row],[WASH_acute_PIN]]*$V259,)</f>
        <v>0</v>
      </c>
      <c r="AG259" s="1">
        <f>IFERROR(Table2[[#This Row],[Protection_PIN]]*$V259,)</f>
        <v>0</v>
      </c>
      <c r="AH259" s="1">
        <f>IFERROR(Table2[[#This Row],[Food_PIN]]*$V259,)</f>
        <v>0</v>
      </c>
      <c r="AI259" s="1">
        <f>IFERROR(Table2[[#This Row],[Protection_CP_PIN]]*$V259,)</f>
        <v>0</v>
      </c>
      <c r="AJ259" s="1">
        <f>IFERROR(Table2[[#This Row],[Protection_GBV_PIN]]*$V259,)</f>
        <v>0</v>
      </c>
      <c r="AK259" s="1">
        <f>IFERROR(Table2[[#This Row],[Protection_MA_PIN]]*$V259,)</f>
        <v>0</v>
      </c>
      <c r="AL259" s="1">
        <f>IFERROR(Table2[[#This Row],[Health_PIN]]*$W259,)</f>
        <v>0</v>
      </c>
      <c r="AM259" s="1">
        <f>IFERROR(Table2[[#This Row],[CCCM_PIN]]*$W259,)</f>
        <v>0</v>
      </c>
      <c r="AN259" s="1">
        <f>IFERROR(Table2[[#This Row],[ERL_PIN]]*$W259,)</f>
        <v>0</v>
      </c>
      <c r="AO259" s="1">
        <f>IFERROR(Table2[[#This Row],[NFI_PIN]]*$W259,)</f>
        <v>0</v>
      </c>
      <c r="AP259" s="1">
        <f>IFERROR(Table2[[#This Row],[Nutrition_PIN]]*$W259,)</f>
        <v>0</v>
      </c>
      <c r="AQ259" s="1">
        <f>IFERROR(Table2[[#This Row],[Education_PIN]]*$W259,)</f>
        <v>0</v>
      </c>
      <c r="AR259" s="1">
        <f>IFERROR(Table2[[#This Row],[Shelter_PIN]]*$W259,)</f>
        <v>0</v>
      </c>
      <c r="AS259" s="1">
        <f>IFERROR(Table2[[#This Row],[WASH_PIN]]*$W259,)</f>
        <v>0</v>
      </c>
      <c r="AT259" s="1">
        <f>IFERROR(Table2[[#This Row],[WASH_acute_PIN]]*$W259,)</f>
        <v>0</v>
      </c>
      <c r="AU259" s="1">
        <f>IFERROR(Table2[[#This Row],[Protection_PIN]]*$W259,)</f>
        <v>0</v>
      </c>
      <c r="AV259" s="1">
        <f>IFERROR(Table2[[#This Row],[Food_PIN]]*$W259,)</f>
        <v>0</v>
      </c>
      <c r="AW259" s="1">
        <f>IFERROR(Table2[[#This Row],[Protection_CP_PIN]]*$W259,)</f>
        <v>0</v>
      </c>
      <c r="AX259" s="1">
        <f>IFERROR(Table2[[#This Row],[Protection_GBV_PIN]]*$W259,)</f>
        <v>0</v>
      </c>
      <c r="AY259" s="1">
        <f>IFERROR(Table2[[#This Row],[Protection_MA_PIN]]*$W259,)</f>
        <v>0</v>
      </c>
      <c r="AZ259" s="1">
        <v>3</v>
      </c>
      <c r="BA259" s="1">
        <v>4</v>
      </c>
      <c r="BB259" s="1">
        <v>4</v>
      </c>
      <c r="BC259" s="1">
        <v>2</v>
      </c>
      <c r="BD259" s="1">
        <v>3</v>
      </c>
      <c r="BE259" s="1">
        <v>4</v>
      </c>
      <c r="BF259" s="1">
        <v>5</v>
      </c>
      <c r="BG259" s="1">
        <v>5</v>
      </c>
      <c r="BH259" s="1">
        <v>4</v>
      </c>
      <c r="BI259" s="1">
        <v>5</v>
      </c>
      <c r="BJ259" s="1">
        <v>3</v>
      </c>
      <c r="BK259" s="1">
        <v>5</v>
      </c>
      <c r="BL259" s="1">
        <v>3</v>
      </c>
    </row>
    <row r="260" spans="1:64" x14ac:dyDescent="0.35">
      <c r="A260" t="s">
        <v>104</v>
      </c>
      <c r="B260" t="s">
        <v>677</v>
      </c>
      <c r="C260" t="s">
        <v>105</v>
      </c>
      <c r="D260" t="s">
        <v>222</v>
      </c>
      <c r="E260" t="s">
        <v>954</v>
      </c>
      <c r="F260" t="s">
        <v>223</v>
      </c>
      <c r="G260" t="s">
        <v>222</v>
      </c>
      <c r="H260" s="1">
        <v>31594</v>
      </c>
      <c r="I260" s="1" t="s">
        <v>665</v>
      </c>
      <c r="J260" s="1">
        <v>30708</v>
      </c>
      <c r="K260" s="1">
        <v>6319</v>
      </c>
      <c r="L260" s="1">
        <v>8178.7031709703024</v>
      </c>
      <c r="M260" s="1">
        <v>13517.55</v>
      </c>
      <c r="N260" s="1">
        <v>18956</v>
      </c>
      <c r="O260" s="1">
        <v>31594</v>
      </c>
      <c r="P260" s="1">
        <v>31594</v>
      </c>
      <c r="Q260" s="1">
        <v>31594</v>
      </c>
      <c r="R260" s="1">
        <v>26328.333333333336</v>
      </c>
      <c r="S260" s="1">
        <v>12615</v>
      </c>
      <c r="T260" s="1">
        <v>17112</v>
      </c>
      <c r="U260" s="1">
        <v>29909</v>
      </c>
      <c r="V260" s="3">
        <f>_xlfn.XLOOKUP(Table2[[#This Row],[admin3Pcode]],'Inter-sector dataset'!F:F,'Inter-sector dataset'!Q:Q)</f>
        <v>0</v>
      </c>
      <c r="W260" s="3">
        <f>_xlfn.XLOOKUP(Table2[[#This Row],[admin3Pcode]],'Inter-sector dataset'!F:F,'Inter-sector dataset'!R:R)</f>
        <v>0</v>
      </c>
      <c r="X260" s="1">
        <f>IFERROR(Table2[[#This Row],[Health_PIN]]*$V260,)</f>
        <v>0</v>
      </c>
      <c r="Y260" s="1">
        <f>IFERROR(Table2[[#This Row],[CCCM_PIN]]*$V260,)</f>
        <v>0</v>
      </c>
      <c r="Z260" s="1">
        <f>IFERROR(Table2[[#This Row],[ERL_PIN]]*$V260,)</f>
        <v>0</v>
      </c>
      <c r="AA260" s="1">
        <f>IFERROR(Table2[[#This Row],[NFI_PIN]]*$V260,)</f>
        <v>0</v>
      </c>
      <c r="AB260" s="1">
        <f>IFERROR(Table2[[#This Row],[Nutrition_PIN]]*$V260,)</f>
        <v>0</v>
      </c>
      <c r="AC260" s="1">
        <f>IFERROR(Table2[[#This Row],[Education_PIN]]*$V260,)</f>
        <v>0</v>
      </c>
      <c r="AD260" s="1">
        <f>IFERROR(Table2[[#This Row],[Shelter_PIN]]*$V260,)</f>
        <v>0</v>
      </c>
      <c r="AE260" s="1">
        <f>IFERROR(Table2[[#This Row],[WASH_PIN]]*$V260,)</f>
        <v>0</v>
      </c>
      <c r="AF260" s="1">
        <f>IFERROR(Table2[[#This Row],[WASH_acute_PIN]]*$V260,)</f>
        <v>0</v>
      </c>
      <c r="AG260" s="1">
        <f>IFERROR(Table2[[#This Row],[Protection_PIN]]*$V260,)</f>
        <v>0</v>
      </c>
      <c r="AH260" s="1">
        <f>IFERROR(Table2[[#This Row],[Food_PIN]]*$V260,)</f>
        <v>0</v>
      </c>
      <c r="AI260" s="1">
        <f>IFERROR(Table2[[#This Row],[Protection_CP_PIN]]*$V260,)</f>
        <v>0</v>
      </c>
      <c r="AJ260" s="1">
        <f>IFERROR(Table2[[#This Row],[Protection_GBV_PIN]]*$V260,)</f>
        <v>0</v>
      </c>
      <c r="AK260" s="1">
        <f>IFERROR(Table2[[#This Row],[Protection_MA_PIN]]*$V260,)</f>
        <v>0</v>
      </c>
      <c r="AL260" s="1">
        <f>IFERROR(Table2[[#This Row],[Health_PIN]]*$W260,)</f>
        <v>0</v>
      </c>
      <c r="AM260" s="1">
        <f>IFERROR(Table2[[#This Row],[CCCM_PIN]]*$W260,)</f>
        <v>0</v>
      </c>
      <c r="AN260" s="1">
        <f>IFERROR(Table2[[#This Row],[ERL_PIN]]*$W260,)</f>
        <v>0</v>
      </c>
      <c r="AO260" s="1">
        <f>IFERROR(Table2[[#This Row],[NFI_PIN]]*$W260,)</f>
        <v>0</v>
      </c>
      <c r="AP260" s="1">
        <f>IFERROR(Table2[[#This Row],[Nutrition_PIN]]*$W260,)</f>
        <v>0</v>
      </c>
      <c r="AQ260" s="1">
        <f>IFERROR(Table2[[#This Row],[Education_PIN]]*$W260,)</f>
        <v>0</v>
      </c>
      <c r="AR260" s="1">
        <f>IFERROR(Table2[[#This Row],[Shelter_PIN]]*$W260,)</f>
        <v>0</v>
      </c>
      <c r="AS260" s="1">
        <f>IFERROR(Table2[[#This Row],[WASH_PIN]]*$W260,)</f>
        <v>0</v>
      </c>
      <c r="AT260" s="1">
        <f>IFERROR(Table2[[#This Row],[WASH_acute_PIN]]*$W260,)</f>
        <v>0</v>
      </c>
      <c r="AU260" s="1">
        <f>IFERROR(Table2[[#This Row],[Protection_PIN]]*$W260,)</f>
        <v>0</v>
      </c>
      <c r="AV260" s="1">
        <f>IFERROR(Table2[[#This Row],[Food_PIN]]*$W260,)</f>
        <v>0</v>
      </c>
      <c r="AW260" s="1">
        <f>IFERROR(Table2[[#This Row],[Protection_CP_PIN]]*$W260,)</f>
        <v>0</v>
      </c>
      <c r="AX260" s="1">
        <f>IFERROR(Table2[[#This Row],[Protection_GBV_PIN]]*$W260,)</f>
        <v>0</v>
      </c>
      <c r="AY260" s="1">
        <f>IFERROR(Table2[[#This Row],[Protection_MA_PIN]]*$W260,)</f>
        <v>0</v>
      </c>
      <c r="AZ260" s="1">
        <v>4</v>
      </c>
      <c r="BA260" s="1">
        <v>4</v>
      </c>
      <c r="BB260" s="1">
        <v>4</v>
      </c>
      <c r="BC260" s="1">
        <v>2</v>
      </c>
      <c r="BD260" s="1">
        <v>4</v>
      </c>
      <c r="BE260" s="1">
        <v>5</v>
      </c>
      <c r="BF260" s="1">
        <v>5</v>
      </c>
      <c r="BG260" s="1">
        <v>5</v>
      </c>
      <c r="BH260" s="1">
        <v>5</v>
      </c>
      <c r="BI260" s="1">
        <v>5</v>
      </c>
      <c r="BJ260" s="1">
        <v>4</v>
      </c>
      <c r="BK260" s="1" t="s">
        <v>665</v>
      </c>
      <c r="BL260" s="1">
        <v>4</v>
      </c>
    </row>
    <row r="261" spans="1:64" x14ac:dyDescent="0.35">
      <c r="A261" t="s">
        <v>192</v>
      </c>
      <c r="B261" t="s">
        <v>711</v>
      </c>
      <c r="C261" t="s">
        <v>193</v>
      </c>
      <c r="D261" t="s">
        <v>196</v>
      </c>
      <c r="E261" t="s">
        <v>955</v>
      </c>
      <c r="F261" t="s">
        <v>197</v>
      </c>
      <c r="G261" t="s">
        <v>196</v>
      </c>
      <c r="H261" s="1">
        <v>28067.25</v>
      </c>
      <c r="I261" s="1" t="s">
        <v>665</v>
      </c>
      <c r="J261" s="1">
        <v>26808</v>
      </c>
      <c r="K261" s="1">
        <v>6080</v>
      </c>
      <c r="L261" s="1">
        <v>13496.333773798187</v>
      </c>
      <c r="M261" s="1">
        <v>16169.083333333334</v>
      </c>
      <c r="N261" s="1">
        <v>10524</v>
      </c>
      <c r="O261" s="1">
        <v>35855.726816009897</v>
      </c>
      <c r="P261" s="1">
        <v>30236</v>
      </c>
      <c r="Q261" s="1">
        <v>37423</v>
      </c>
      <c r="R261" s="1">
        <v>36772.165217391303</v>
      </c>
      <c r="S261" s="1">
        <v>13836.9</v>
      </c>
      <c r="T261" s="1">
        <v>16694</v>
      </c>
      <c r="U261" s="1">
        <v>37423</v>
      </c>
      <c r="V261" s="3">
        <f>_xlfn.XLOOKUP(Table2[[#This Row],[admin3Pcode]],'Inter-sector dataset'!F:F,'Inter-sector dataset'!Q:Q)</f>
        <v>1</v>
      </c>
      <c r="W261" s="3">
        <f>_xlfn.XLOOKUP(Table2[[#This Row],[admin3Pcode]],'Inter-sector dataset'!F:F,'Inter-sector dataset'!R:R)</f>
        <v>0</v>
      </c>
      <c r="X261" s="1">
        <f>IFERROR(Table2[[#This Row],[Health_PIN]]*$V261,)</f>
        <v>28067.25</v>
      </c>
      <c r="Y261" s="1">
        <f>IFERROR(Table2[[#This Row],[CCCM_PIN]]*$V261,)</f>
        <v>0</v>
      </c>
      <c r="Z261" s="1">
        <f>IFERROR(Table2[[#This Row],[ERL_PIN]]*$V261,)</f>
        <v>26808</v>
      </c>
      <c r="AA261" s="1">
        <f>IFERROR(Table2[[#This Row],[NFI_PIN]]*$V261,)</f>
        <v>6080</v>
      </c>
      <c r="AB261" s="1">
        <f>IFERROR(Table2[[#This Row],[Nutrition_PIN]]*$V261,)</f>
        <v>13496.333773798187</v>
      </c>
      <c r="AC261" s="1">
        <f>IFERROR(Table2[[#This Row],[Education_PIN]]*$V261,)</f>
        <v>16169.083333333334</v>
      </c>
      <c r="AD261" s="1">
        <f>IFERROR(Table2[[#This Row],[Shelter_PIN]]*$V261,)</f>
        <v>10524</v>
      </c>
      <c r="AE261" s="1">
        <f>IFERROR(Table2[[#This Row],[WASH_PIN]]*$V261,)</f>
        <v>35855.726816009897</v>
      </c>
      <c r="AF261" s="1">
        <f>IFERROR(Table2[[#This Row],[WASH_acute_PIN]]*$V261,)</f>
        <v>30236</v>
      </c>
      <c r="AG261" s="1">
        <f>IFERROR(Table2[[#This Row],[Protection_PIN]]*$V261,)</f>
        <v>37423</v>
      </c>
      <c r="AH261" s="1">
        <f>IFERROR(Table2[[#This Row],[Food_PIN]]*$V261,)</f>
        <v>36772.165217391303</v>
      </c>
      <c r="AI261" s="1">
        <f>IFERROR(Table2[[#This Row],[Protection_CP_PIN]]*$V261,)</f>
        <v>13836.9</v>
      </c>
      <c r="AJ261" s="1">
        <f>IFERROR(Table2[[#This Row],[Protection_GBV_PIN]]*$V261,)</f>
        <v>16694</v>
      </c>
      <c r="AK261" s="1">
        <f>IFERROR(Table2[[#This Row],[Protection_MA_PIN]]*$V261,)</f>
        <v>37423</v>
      </c>
      <c r="AL261" s="1">
        <f>IFERROR(Table2[[#This Row],[Health_PIN]]*$W261,)</f>
        <v>0</v>
      </c>
      <c r="AM261" s="1">
        <f>IFERROR(Table2[[#This Row],[CCCM_PIN]]*$W261,)</f>
        <v>0</v>
      </c>
      <c r="AN261" s="1">
        <f>IFERROR(Table2[[#This Row],[ERL_PIN]]*$W261,)</f>
        <v>0</v>
      </c>
      <c r="AO261" s="1">
        <f>IFERROR(Table2[[#This Row],[NFI_PIN]]*$W261,)</f>
        <v>0</v>
      </c>
      <c r="AP261" s="1">
        <f>IFERROR(Table2[[#This Row],[Nutrition_PIN]]*$W261,)</f>
        <v>0</v>
      </c>
      <c r="AQ261" s="1">
        <f>IFERROR(Table2[[#This Row],[Education_PIN]]*$W261,)</f>
        <v>0</v>
      </c>
      <c r="AR261" s="1">
        <f>IFERROR(Table2[[#This Row],[Shelter_PIN]]*$W261,)</f>
        <v>0</v>
      </c>
      <c r="AS261" s="1">
        <f>IFERROR(Table2[[#This Row],[WASH_PIN]]*$W261,)</f>
        <v>0</v>
      </c>
      <c r="AT261" s="1">
        <f>IFERROR(Table2[[#This Row],[WASH_acute_PIN]]*$W261,)</f>
        <v>0</v>
      </c>
      <c r="AU261" s="1">
        <f>IFERROR(Table2[[#This Row],[Protection_PIN]]*$W261,)</f>
        <v>0</v>
      </c>
      <c r="AV261" s="1">
        <f>IFERROR(Table2[[#This Row],[Food_PIN]]*$W261,)</f>
        <v>0</v>
      </c>
      <c r="AW261" s="1">
        <f>IFERROR(Table2[[#This Row],[Protection_CP_PIN]]*$W261,)</f>
        <v>0</v>
      </c>
      <c r="AX261" s="1">
        <f>IFERROR(Table2[[#This Row],[Protection_GBV_PIN]]*$W261,)</f>
        <v>0</v>
      </c>
      <c r="AY261" s="1">
        <f>IFERROR(Table2[[#This Row],[Protection_MA_PIN]]*$W261,)</f>
        <v>0</v>
      </c>
      <c r="AZ261" s="1">
        <v>3</v>
      </c>
      <c r="BA261" s="1">
        <v>4</v>
      </c>
      <c r="BB261" s="1">
        <v>4</v>
      </c>
      <c r="BC261" s="1">
        <v>2</v>
      </c>
      <c r="BD261" s="1">
        <v>3</v>
      </c>
      <c r="BE261" s="1">
        <v>4</v>
      </c>
      <c r="BF261" s="1">
        <v>5</v>
      </c>
      <c r="BG261" s="1">
        <v>4</v>
      </c>
      <c r="BH261" s="1">
        <v>4</v>
      </c>
      <c r="BI261" s="1">
        <v>5</v>
      </c>
      <c r="BJ261" s="1">
        <v>4</v>
      </c>
      <c r="BK261" s="1" t="s">
        <v>665</v>
      </c>
      <c r="BL261" s="1">
        <v>4</v>
      </c>
    </row>
    <row r="262" spans="1:64" x14ac:dyDescent="0.35">
      <c r="A262" t="s">
        <v>157</v>
      </c>
      <c r="B262" t="s">
        <v>748</v>
      </c>
      <c r="C262" t="s">
        <v>158</v>
      </c>
      <c r="D262" t="s">
        <v>298</v>
      </c>
      <c r="E262" t="s">
        <v>956</v>
      </c>
      <c r="F262" t="s">
        <v>299</v>
      </c>
      <c r="G262" t="s">
        <v>298</v>
      </c>
      <c r="H262" s="1">
        <v>38267</v>
      </c>
      <c r="I262" s="1">
        <v>61</v>
      </c>
      <c r="J262" s="1">
        <v>36430</v>
      </c>
      <c r="K262" s="1">
        <v>11480</v>
      </c>
      <c r="L262" s="1">
        <v>15249.446931808976</v>
      </c>
      <c r="M262" s="1">
        <v>17114.583333333332</v>
      </c>
      <c r="N262" s="1">
        <v>7653</v>
      </c>
      <c r="O262" s="1">
        <v>38266.999999999993</v>
      </c>
      <c r="P262" s="1">
        <v>38267</v>
      </c>
      <c r="Q262" s="1">
        <v>38267</v>
      </c>
      <c r="R262" s="1">
        <v>15372.213675213676</v>
      </c>
      <c r="S262" s="1">
        <v>14693.099999999999</v>
      </c>
      <c r="T262" s="1">
        <v>10287</v>
      </c>
      <c r="U262" s="1">
        <v>19072</v>
      </c>
      <c r="V262" s="3">
        <f>_xlfn.XLOOKUP(Table2[[#This Row],[admin3Pcode]],'Inter-sector dataset'!F:F,'Inter-sector dataset'!Q:Q)</f>
        <v>0</v>
      </c>
      <c r="W262" s="3">
        <f>_xlfn.XLOOKUP(Table2[[#This Row],[admin3Pcode]],'Inter-sector dataset'!F:F,'Inter-sector dataset'!R:R)</f>
        <v>0</v>
      </c>
      <c r="X262" s="1">
        <f>IFERROR(Table2[[#This Row],[Health_PIN]]*$V262,)</f>
        <v>0</v>
      </c>
      <c r="Y262" s="1">
        <f>IFERROR(Table2[[#This Row],[CCCM_PIN]]*$V262,)</f>
        <v>0</v>
      </c>
      <c r="Z262" s="1">
        <f>IFERROR(Table2[[#This Row],[ERL_PIN]]*$V262,)</f>
        <v>0</v>
      </c>
      <c r="AA262" s="1">
        <f>IFERROR(Table2[[#This Row],[NFI_PIN]]*$V262,)</f>
        <v>0</v>
      </c>
      <c r="AB262" s="1">
        <f>IFERROR(Table2[[#This Row],[Nutrition_PIN]]*$V262,)</f>
        <v>0</v>
      </c>
      <c r="AC262" s="1">
        <f>IFERROR(Table2[[#This Row],[Education_PIN]]*$V262,)</f>
        <v>0</v>
      </c>
      <c r="AD262" s="1">
        <f>IFERROR(Table2[[#This Row],[Shelter_PIN]]*$V262,)</f>
        <v>0</v>
      </c>
      <c r="AE262" s="1">
        <f>IFERROR(Table2[[#This Row],[WASH_PIN]]*$V262,)</f>
        <v>0</v>
      </c>
      <c r="AF262" s="1">
        <f>IFERROR(Table2[[#This Row],[WASH_acute_PIN]]*$V262,)</f>
        <v>0</v>
      </c>
      <c r="AG262" s="1">
        <f>IFERROR(Table2[[#This Row],[Protection_PIN]]*$V262,)</f>
        <v>0</v>
      </c>
      <c r="AH262" s="1">
        <f>IFERROR(Table2[[#This Row],[Food_PIN]]*$V262,)</f>
        <v>0</v>
      </c>
      <c r="AI262" s="1">
        <f>IFERROR(Table2[[#This Row],[Protection_CP_PIN]]*$V262,)</f>
        <v>0</v>
      </c>
      <c r="AJ262" s="1">
        <f>IFERROR(Table2[[#This Row],[Protection_GBV_PIN]]*$V262,)</f>
        <v>0</v>
      </c>
      <c r="AK262" s="1">
        <f>IFERROR(Table2[[#This Row],[Protection_MA_PIN]]*$V262,)</f>
        <v>0</v>
      </c>
      <c r="AL262" s="1">
        <f>IFERROR(Table2[[#This Row],[Health_PIN]]*$W262,)</f>
        <v>0</v>
      </c>
      <c r="AM262" s="1">
        <f>IFERROR(Table2[[#This Row],[CCCM_PIN]]*$W262,)</f>
        <v>0</v>
      </c>
      <c r="AN262" s="1">
        <f>IFERROR(Table2[[#This Row],[ERL_PIN]]*$W262,)</f>
        <v>0</v>
      </c>
      <c r="AO262" s="1">
        <f>IFERROR(Table2[[#This Row],[NFI_PIN]]*$W262,)</f>
        <v>0</v>
      </c>
      <c r="AP262" s="1">
        <f>IFERROR(Table2[[#This Row],[Nutrition_PIN]]*$W262,)</f>
        <v>0</v>
      </c>
      <c r="AQ262" s="1">
        <f>IFERROR(Table2[[#This Row],[Education_PIN]]*$W262,)</f>
        <v>0</v>
      </c>
      <c r="AR262" s="1">
        <f>IFERROR(Table2[[#This Row],[Shelter_PIN]]*$W262,)</f>
        <v>0</v>
      </c>
      <c r="AS262" s="1">
        <f>IFERROR(Table2[[#This Row],[WASH_PIN]]*$W262,)</f>
        <v>0</v>
      </c>
      <c r="AT262" s="1">
        <f>IFERROR(Table2[[#This Row],[WASH_acute_PIN]]*$W262,)</f>
        <v>0</v>
      </c>
      <c r="AU262" s="1">
        <f>IFERROR(Table2[[#This Row],[Protection_PIN]]*$W262,)</f>
        <v>0</v>
      </c>
      <c r="AV262" s="1">
        <f>IFERROR(Table2[[#This Row],[Food_PIN]]*$W262,)</f>
        <v>0</v>
      </c>
      <c r="AW262" s="1">
        <f>IFERROR(Table2[[#This Row],[Protection_CP_PIN]]*$W262,)</f>
        <v>0</v>
      </c>
      <c r="AX262" s="1">
        <f>IFERROR(Table2[[#This Row],[Protection_GBV_PIN]]*$W262,)</f>
        <v>0</v>
      </c>
      <c r="AY262" s="1">
        <f>IFERROR(Table2[[#This Row],[Protection_MA_PIN]]*$W262,)</f>
        <v>0</v>
      </c>
      <c r="AZ262" s="1">
        <v>2</v>
      </c>
      <c r="BA262" s="1">
        <v>3</v>
      </c>
      <c r="BB262" s="1">
        <v>4</v>
      </c>
      <c r="BC262" s="1">
        <v>3</v>
      </c>
      <c r="BD262" s="1">
        <v>3</v>
      </c>
      <c r="BE262" s="1">
        <v>5</v>
      </c>
      <c r="BF262" s="1">
        <v>5</v>
      </c>
      <c r="BG262" s="1">
        <v>4</v>
      </c>
      <c r="BH262" s="1">
        <v>3</v>
      </c>
      <c r="BI262" s="1">
        <v>5</v>
      </c>
      <c r="BJ262" s="1">
        <v>3</v>
      </c>
      <c r="BK262" s="1">
        <v>4</v>
      </c>
      <c r="BL262" s="1">
        <v>4</v>
      </c>
    </row>
    <row r="263" spans="1:64" x14ac:dyDescent="0.35">
      <c r="A263" t="s">
        <v>54</v>
      </c>
      <c r="B263" t="s">
        <v>709</v>
      </c>
      <c r="C263" t="s">
        <v>55</v>
      </c>
      <c r="D263" t="s">
        <v>423</v>
      </c>
      <c r="E263" t="s">
        <v>957</v>
      </c>
      <c r="F263" t="s">
        <v>424</v>
      </c>
      <c r="G263" t="s">
        <v>958</v>
      </c>
      <c r="H263" s="1">
        <v>35589.75</v>
      </c>
      <c r="I263" s="1">
        <v>3627</v>
      </c>
      <c r="J263" s="1">
        <v>29646</v>
      </c>
      <c r="K263" s="1">
        <v>12290</v>
      </c>
      <c r="L263" s="1">
        <v>17190.050525699531</v>
      </c>
      <c r="M263" s="1">
        <v>19667.95</v>
      </c>
      <c r="N263" s="1">
        <v>11481</v>
      </c>
      <c r="O263" s="1">
        <v>40149.17580514407</v>
      </c>
      <c r="P263" s="1">
        <v>7097</v>
      </c>
      <c r="Q263" s="1">
        <v>47453</v>
      </c>
      <c r="R263" s="1">
        <v>47453</v>
      </c>
      <c r="S263" s="1">
        <v>17409.900000000001</v>
      </c>
      <c r="T263" s="1">
        <v>20268</v>
      </c>
      <c r="U263" s="1">
        <v>46872</v>
      </c>
      <c r="V263" s="3">
        <f>_xlfn.XLOOKUP(Table2[[#This Row],[admin3Pcode]],'Inter-sector dataset'!F:F,'Inter-sector dataset'!Q:Q)</f>
        <v>0.71</v>
      </c>
      <c r="W263" s="3">
        <f>_xlfn.XLOOKUP(Table2[[#This Row],[admin3Pcode]],'Inter-sector dataset'!F:F,'Inter-sector dataset'!R:R)</f>
        <v>0</v>
      </c>
      <c r="X263" s="1">
        <f>IFERROR(Table2[[#This Row],[Health_PIN]]*$V263,)</f>
        <v>25268.7225</v>
      </c>
      <c r="Y263" s="1">
        <f>IFERROR(Table2[[#This Row],[CCCM_PIN]]*$V263,)</f>
        <v>2575.17</v>
      </c>
      <c r="Z263" s="1">
        <f>IFERROR(Table2[[#This Row],[ERL_PIN]]*$V263,)</f>
        <v>21048.66</v>
      </c>
      <c r="AA263" s="1">
        <f>IFERROR(Table2[[#This Row],[NFI_PIN]]*$V263,)</f>
        <v>8725.9</v>
      </c>
      <c r="AB263" s="1">
        <f>IFERROR(Table2[[#This Row],[Nutrition_PIN]]*$V263,)</f>
        <v>12204.935873246666</v>
      </c>
      <c r="AC263" s="1">
        <f>IFERROR(Table2[[#This Row],[Education_PIN]]*$V263,)</f>
        <v>13964.244500000001</v>
      </c>
      <c r="AD263" s="1">
        <f>IFERROR(Table2[[#This Row],[Shelter_PIN]]*$V263,)</f>
        <v>8151.5099999999993</v>
      </c>
      <c r="AE263" s="1">
        <f>IFERROR(Table2[[#This Row],[WASH_PIN]]*$V263,)</f>
        <v>28505.914821652288</v>
      </c>
      <c r="AF263" s="1">
        <f>IFERROR(Table2[[#This Row],[WASH_acute_PIN]]*$V263,)</f>
        <v>5038.87</v>
      </c>
      <c r="AG263" s="1">
        <f>IFERROR(Table2[[#This Row],[Protection_PIN]]*$V263,)</f>
        <v>33691.629999999997</v>
      </c>
      <c r="AH263" s="1">
        <f>IFERROR(Table2[[#This Row],[Food_PIN]]*$V263,)</f>
        <v>33691.629999999997</v>
      </c>
      <c r="AI263" s="1">
        <f>IFERROR(Table2[[#This Row],[Protection_CP_PIN]]*$V263,)</f>
        <v>12361.029</v>
      </c>
      <c r="AJ263" s="1">
        <f>IFERROR(Table2[[#This Row],[Protection_GBV_PIN]]*$V263,)</f>
        <v>14390.279999999999</v>
      </c>
      <c r="AK263" s="1">
        <f>IFERROR(Table2[[#This Row],[Protection_MA_PIN]]*$V263,)</f>
        <v>33279.119999999995</v>
      </c>
      <c r="AL263" s="1">
        <f>IFERROR(Table2[[#This Row],[Health_PIN]]*$W263,)</f>
        <v>0</v>
      </c>
      <c r="AM263" s="1">
        <f>IFERROR(Table2[[#This Row],[CCCM_PIN]]*$W263,)</f>
        <v>0</v>
      </c>
      <c r="AN263" s="1">
        <f>IFERROR(Table2[[#This Row],[ERL_PIN]]*$W263,)</f>
        <v>0</v>
      </c>
      <c r="AO263" s="1">
        <f>IFERROR(Table2[[#This Row],[NFI_PIN]]*$W263,)</f>
        <v>0</v>
      </c>
      <c r="AP263" s="1">
        <f>IFERROR(Table2[[#This Row],[Nutrition_PIN]]*$W263,)</f>
        <v>0</v>
      </c>
      <c r="AQ263" s="1">
        <f>IFERROR(Table2[[#This Row],[Education_PIN]]*$W263,)</f>
        <v>0</v>
      </c>
      <c r="AR263" s="1">
        <f>IFERROR(Table2[[#This Row],[Shelter_PIN]]*$W263,)</f>
        <v>0</v>
      </c>
      <c r="AS263" s="1">
        <f>IFERROR(Table2[[#This Row],[WASH_PIN]]*$W263,)</f>
        <v>0</v>
      </c>
      <c r="AT263" s="1">
        <f>IFERROR(Table2[[#This Row],[WASH_acute_PIN]]*$W263,)</f>
        <v>0</v>
      </c>
      <c r="AU263" s="1">
        <f>IFERROR(Table2[[#This Row],[Protection_PIN]]*$W263,)</f>
        <v>0</v>
      </c>
      <c r="AV263" s="1">
        <f>IFERROR(Table2[[#This Row],[Food_PIN]]*$W263,)</f>
        <v>0</v>
      </c>
      <c r="AW263" s="1">
        <f>IFERROR(Table2[[#This Row],[Protection_CP_PIN]]*$W263,)</f>
        <v>0</v>
      </c>
      <c r="AX263" s="1">
        <f>IFERROR(Table2[[#This Row],[Protection_GBV_PIN]]*$W263,)</f>
        <v>0</v>
      </c>
      <c r="AY263" s="1">
        <f>IFERROR(Table2[[#This Row],[Protection_MA_PIN]]*$W263,)</f>
        <v>0</v>
      </c>
      <c r="AZ263" s="1">
        <v>3</v>
      </c>
      <c r="BA263" s="1">
        <v>4</v>
      </c>
      <c r="BB263" s="1">
        <v>4</v>
      </c>
      <c r="BC263" s="1">
        <v>5</v>
      </c>
      <c r="BD263" s="1">
        <v>3</v>
      </c>
      <c r="BE263" s="1">
        <v>4</v>
      </c>
      <c r="BF263" s="1">
        <v>5</v>
      </c>
      <c r="BG263" s="1">
        <v>4</v>
      </c>
      <c r="BH263" s="1">
        <v>4</v>
      </c>
      <c r="BI263" s="1">
        <v>5</v>
      </c>
      <c r="BJ263" s="1">
        <v>4</v>
      </c>
      <c r="BK263" s="1">
        <v>3</v>
      </c>
      <c r="BL263" s="1">
        <v>3</v>
      </c>
    </row>
    <row r="264" spans="1:64" x14ac:dyDescent="0.35">
      <c r="A264" t="s">
        <v>54</v>
      </c>
      <c r="B264" t="s">
        <v>709</v>
      </c>
      <c r="C264" t="s">
        <v>55</v>
      </c>
      <c r="D264" t="s">
        <v>401</v>
      </c>
      <c r="E264" t="s">
        <v>959</v>
      </c>
      <c r="F264" t="s">
        <v>402</v>
      </c>
      <c r="G264" t="s">
        <v>401</v>
      </c>
      <c r="H264" s="1">
        <v>24185</v>
      </c>
      <c r="I264" s="1" t="s">
        <v>665</v>
      </c>
      <c r="J264" s="1">
        <v>18396</v>
      </c>
      <c r="K264" s="1">
        <v>14511</v>
      </c>
      <c r="L264" s="1">
        <v>14868.183244179099</v>
      </c>
      <c r="M264" s="1">
        <v>15635.366666666667</v>
      </c>
      <c r="N264" s="1">
        <v>9674</v>
      </c>
      <c r="O264" s="1">
        <v>1015.499999999999</v>
      </c>
      <c r="P264" s="1">
        <v>0</v>
      </c>
      <c r="Q264" s="1">
        <v>48370</v>
      </c>
      <c r="R264" s="1">
        <v>34262.083333333336</v>
      </c>
      <c r="S264" s="1">
        <v>18438.400000000001</v>
      </c>
      <c r="T264" s="1">
        <v>12538</v>
      </c>
      <c r="U264" s="1">
        <v>48370</v>
      </c>
      <c r="V264" s="3">
        <f>_xlfn.XLOOKUP(Table2[[#This Row],[admin3Pcode]],'Inter-sector dataset'!F:F,'Inter-sector dataset'!Q:Q)</f>
        <v>0</v>
      </c>
      <c r="W264" s="3">
        <f>_xlfn.XLOOKUP(Table2[[#This Row],[admin3Pcode]],'Inter-sector dataset'!F:F,'Inter-sector dataset'!R:R)</f>
        <v>0</v>
      </c>
      <c r="X264" s="1">
        <f>IFERROR(Table2[[#This Row],[Health_PIN]]*$V264,)</f>
        <v>0</v>
      </c>
      <c r="Y264" s="1">
        <f>IFERROR(Table2[[#This Row],[CCCM_PIN]]*$V264,)</f>
        <v>0</v>
      </c>
      <c r="Z264" s="1">
        <f>IFERROR(Table2[[#This Row],[ERL_PIN]]*$V264,)</f>
        <v>0</v>
      </c>
      <c r="AA264" s="1">
        <f>IFERROR(Table2[[#This Row],[NFI_PIN]]*$V264,)</f>
        <v>0</v>
      </c>
      <c r="AB264" s="1">
        <f>IFERROR(Table2[[#This Row],[Nutrition_PIN]]*$V264,)</f>
        <v>0</v>
      </c>
      <c r="AC264" s="1">
        <f>IFERROR(Table2[[#This Row],[Education_PIN]]*$V264,)</f>
        <v>0</v>
      </c>
      <c r="AD264" s="1">
        <f>IFERROR(Table2[[#This Row],[Shelter_PIN]]*$V264,)</f>
        <v>0</v>
      </c>
      <c r="AE264" s="1">
        <f>IFERROR(Table2[[#This Row],[WASH_PIN]]*$V264,)</f>
        <v>0</v>
      </c>
      <c r="AF264" s="1">
        <f>IFERROR(Table2[[#This Row],[WASH_acute_PIN]]*$V264,)</f>
        <v>0</v>
      </c>
      <c r="AG264" s="1">
        <f>IFERROR(Table2[[#This Row],[Protection_PIN]]*$V264,)</f>
        <v>0</v>
      </c>
      <c r="AH264" s="1">
        <f>IFERROR(Table2[[#This Row],[Food_PIN]]*$V264,)</f>
        <v>0</v>
      </c>
      <c r="AI264" s="1">
        <f>IFERROR(Table2[[#This Row],[Protection_CP_PIN]]*$V264,)</f>
        <v>0</v>
      </c>
      <c r="AJ264" s="1">
        <f>IFERROR(Table2[[#This Row],[Protection_GBV_PIN]]*$V264,)</f>
        <v>0</v>
      </c>
      <c r="AK264" s="1">
        <f>IFERROR(Table2[[#This Row],[Protection_MA_PIN]]*$V264,)</f>
        <v>0</v>
      </c>
      <c r="AL264" s="1">
        <f>IFERROR(Table2[[#This Row],[Health_PIN]]*$W264,)</f>
        <v>0</v>
      </c>
      <c r="AM264" s="1">
        <f>IFERROR(Table2[[#This Row],[CCCM_PIN]]*$W264,)</f>
        <v>0</v>
      </c>
      <c r="AN264" s="1">
        <f>IFERROR(Table2[[#This Row],[ERL_PIN]]*$W264,)</f>
        <v>0</v>
      </c>
      <c r="AO264" s="1">
        <f>IFERROR(Table2[[#This Row],[NFI_PIN]]*$W264,)</f>
        <v>0</v>
      </c>
      <c r="AP264" s="1">
        <f>IFERROR(Table2[[#This Row],[Nutrition_PIN]]*$W264,)</f>
        <v>0</v>
      </c>
      <c r="AQ264" s="1">
        <f>IFERROR(Table2[[#This Row],[Education_PIN]]*$W264,)</f>
        <v>0</v>
      </c>
      <c r="AR264" s="1">
        <f>IFERROR(Table2[[#This Row],[Shelter_PIN]]*$W264,)</f>
        <v>0</v>
      </c>
      <c r="AS264" s="1">
        <f>IFERROR(Table2[[#This Row],[WASH_PIN]]*$W264,)</f>
        <v>0</v>
      </c>
      <c r="AT264" s="1">
        <f>IFERROR(Table2[[#This Row],[WASH_acute_PIN]]*$W264,)</f>
        <v>0</v>
      </c>
      <c r="AU264" s="1">
        <f>IFERROR(Table2[[#This Row],[Protection_PIN]]*$W264,)</f>
        <v>0</v>
      </c>
      <c r="AV264" s="1">
        <f>IFERROR(Table2[[#This Row],[Food_PIN]]*$W264,)</f>
        <v>0</v>
      </c>
      <c r="AW264" s="1">
        <f>IFERROR(Table2[[#This Row],[Protection_CP_PIN]]*$W264,)</f>
        <v>0</v>
      </c>
      <c r="AX264" s="1">
        <f>IFERROR(Table2[[#This Row],[Protection_GBV_PIN]]*$W264,)</f>
        <v>0</v>
      </c>
      <c r="AY264" s="1">
        <f>IFERROR(Table2[[#This Row],[Protection_MA_PIN]]*$W264,)</f>
        <v>0</v>
      </c>
      <c r="AZ264" s="1">
        <v>2</v>
      </c>
      <c r="BA264" s="1">
        <v>3</v>
      </c>
      <c r="BB264" s="1">
        <v>3</v>
      </c>
      <c r="BC264" s="1">
        <v>3</v>
      </c>
      <c r="BD264" s="1">
        <v>2</v>
      </c>
      <c r="BE264" s="1">
        <v>3</v>
      </c>
      <c r="BF264" s="1">
        <v>5</v>
      </c>
      <c r="BG264" s="1">
        <v>5</v>
      </c>
      <c r="BH264" s="1">
        <v>3</v>
      </c>
      <c r="BI264" s="1">
        <v>5</v>
      </c>
      <c r="BJ264" s="1">
        <v>4</v>
      </c>
      <c r="BK264" s="1" t="s">
        <v>665</v>
      </c>
      <c r="BL264" s="1">
        <v>2</v>
      </c>
    </row>
    <row r="265" spans="1:64" x14ac:dyDescent="0.35">
      <c r="A265" t="s">
        <v>184</v>
      </c>
      <c r="B265" t="s">
        <v>730</v>
      </c>
      <c r="C265" t="s">
        <v>185</v>
      </c>
      <c r="D265" t="s">
        <v>310</v>
      </c>
      <c r="E265" t="s">
        <v>960</v>
      </c>
      <c r="F265" t="s">
        <v>311</v>
      </c>
      <c r="G265" t="s">
        <v>310</v>
      </c>
      <c r="H265" s="1">
        <v>49487</v>
      </c>
      <c r="I265" s="1">
        <v>10711</v>
      </c>
      <c r="J265" s="1">
        <v>37695</v>
      </c>
      <c r="K265" s="1">
        <v>16596</v>
      </c>
      <c r="L265" s="1">
        <v>11826.355550517881</v>
      </c>
      <c r="M265" s="1">
        <v>13680.816666666668</v>
      </c>
      <c r="N265" s="1">
        <v>17037</v>
      </c>
      <c r="O265" s="1">
        <v>49487</v>
      </c>
      <c r="P265" s="1">
        <v>49487</v>
      </c>
      <c r="Q265" s="1">
        <v>49487</v>
      </c>
      <c r="R265" s="1">
        <v>48626.35652173913</v>
      </c>
      <c r="S265" s="1">
        <v>11454.900000000001</v>
      </c>
      <c r="T265" s="1">
        <v>23311</v>
      </c>
      <c r="U265" s="1">
        <v>44200</v>
      </c>
      <c r="V265" s="3">
        <f>_xlfn.XLOOKUP(Table2[[#This Row],[admin3Pcode]],'Inter-sector dataset'!F:F,'Inter-sector dataset'!Q:Q)</f>
        <v>0</v>
      </c>
      <c r="W265" s="3">
        <f>_xlfn.XLOOKUP(Table2[[#This Row],[admin3Pcode]],'Inter-sector dataset'!F:F,'Inter-sector dataset'!R:R)</f>
        <v>0</v>
      </c>
      <c r="X265" s="1">
        <f>IFERROR(Table2[[#This Row],[Health_PIN]]*$V265,)</f>
        <v>0</v>
      </c>
      <c r="Y265" s="1">
        <f>IFERROR(Table2[[#This Row],[CCCM_PIN]]*$V265,)</f>
        <v>0</v>
      </c>
      <c r="Z265" s="1">
        <f>IFERROR(Table2[[#This Row],[ERL_PIN]]*$V265,)</f>
        <v>0</v>
      </c>
      <c r="AA265" s="1">
        <f>IFERROR(Table2[[#This Row],[NFI_PIN]]*$V265,)</f>
        <v>0</v>
      </c>
      <c r="AB265" s="1">
        <f>IFERROR(Table2[[#This Row],[Nutrition_PIN]]*$V265,)</f>
        <v>0</v>
      </c>
      <c r="AC265" s="1">
        <f>IFERROR(Table2[[#This Row],[Education_PIN]]*$V265,)</f>
        <v>0</v>
      </c>
      <c r="AD265" s="1">
        <f>IFERROR(Table2[[#This Row],[Shelter_PIN]]*$V265,)</f>
        <v>0</v>
      </c>
      <c r="AE265" s="1">
        <f>IFERROR(Table2[[#This Row],[WASH_PIN]]*$V265,)</f>
        <v>0</v>
      </c>
      <c r="AF265" s="1">
        <f>IFERROR(Table2[[#This Row],[WASH_acute_PIN]]*$V265,)</f>
        <v>0</v>
      </c>
      <c r="AG265" s="1">
        <f>IFERROR(Table2[[#This Row],[Protection_PIN]]*$V265,)</f>
        <v>0</v>
      </c>
      <c r="AH265" s="1">
        <f>IFERROR(Table2[[#This Row],[Food_PIN]]*$V265,)</f>
        <v>0</v>
      </c>
      <c r="AI265" s="1">
        <f>IFERROR(Table2[[#This Row],[Protection_CP_PIN]]*$V265,)</f>
        <v>0</v>
      </c>
      <c r="AJ265" s="1">
        <f>IFERROR(Table2[[#This Row],[Protection_GBV_PIN]]*$V265,)</f>
        <v>0</v>
      </c>
      <c r="AK265" s="1">
        <f>IFERROR(Table2[[#This Row],[Protection_MA_PIN]]*$V265,)</f>
        <v>0</v>
      </c>
      <c r="AL265" s="1">
        <f>IFERROR(Table2[[#This Row],[Health_PIN]]*$W265,)</f>
        <v>0</v>
      </c>
      <c r="AM265" s="1">
        <f>IFERROR(Table2[[#This Row],[CCCM_PIN]]*$W265,)</f>
        <v>0</v>
      </c>
      <c r="AN265" s="1">
        <f>IFERROR(Table2[[#This Row],[ERL_PIN]]*$W265,)</f>
        <v>0</v>
      </c>
      <c r="AO265" s="1">
        <f>IFERROR(Table2[[#This Row],[NFI_PIN]]*$W265,)</f>
        <v>0</v>
      </c>
      <c r="AP265" s="1">
        <f>IFERROR(Table2[[#This Row],[Nutrition_PIN]]*$W265,)</f>
        <v>0</v>
      </c>
      <c r="AQ265" s="1">
        <f>IFERROR(Table2[[#This Row],[Education_PIN]]*$W265,)</f>
        <v>0</v>
      </c>
      <c r="AR265" s="1">
        <f>IFERROR(Table2[[#This Row],[Shelter_PIN]]*$W265,)</f>
        <v>0</v>
      </c>
      <c r="AS265" s="1">
        <f>IFERROR(Table2[[#This Row],[WASH_PIN]]*$W265,)</f>
        <v>0</v>
      </c>
      <c r="AT265" s="1">
        <f>IFERROR(Table2[[#This Row],[WASH_acute_PIN]]*$W265,)</f>
        <v>0</v>
      </c>
      <c r="AU265" s="1">
        <f>IFERROR(Table2[[#This Row],[Protection_PIN]]*$W265,)</f>
        <v>0</v>
      </c>
      <c r="AV265" s="1">
        <f>IFERROR(Table2[[#This Row],[Food_PIN]]*$W265,)</f>
        <v>0</v>
      </c>
      <c r="AW265" s="1">
        <f>IFERROR(Table2[[#This Row],[Protection_CP_PIN]]*$W265,)</f>
        <v>0</v>
      </c>
      <c r="AX265" s="1">
        <f>IFERROR(Table2[[#This Row],[Protection_GBV_PIN]]*$W265,)</f>
        <v>0</v>
      </c>
      <c r="AY265" s="1">
        <f>IFERROR(Table2[[#This Row],[Protection_MA_PIN]]*$W265,)</f>
        <v>0</v>
      </c>
      <c r="AZ265" s="1">
        <v>4</v>
      </c>
      <c r="BA265" s="1">
        <v>3</v>
      </c>
      <c r="BB265" s="1">
        <v>5</v>
      </c>
      <c r="BC265" s="1">
        <v>4</v>
      </c>
      <c r="BD265" s="1">
        <v>3</v>
      </c>
      <c r="BE265" s="1">
        <v>5</v>
      </c>
      <c r="BF265" s="1">
        <v>5</v>
      </c>
      <c r="BG265" s="1">
        <v>4</v>
      </c>
      <c r="BH265" s="1">
        <v>4</v>
      </c>
      <c r="BI265" s="1">
        <v>5</v>
      </c>
      <c r="BJ265" s="1">
        <v>4</v>
      </c>
      <c r="BK265" s="1">
        <v>5</v>
      </c>
      <c r="BL265" s="1">
        <v>4</v>
      </c>
    </row>
    <row r="266" spans="1:64" x14ac:dyDescent="0.35">
      <c r="A266" t="s">
        <v>192</v>
      </c>
      <c r="B266" t="s">
        <v>711</v>
      </c>
      <c r="C266" t="s">
        <v>193</v>
      </c>
      <c r="D266" t="s">
        <v>343</v>
      </c>
      <c r="E266" t="s">
        <v>961</v>
      </c>
      <c r="F266" t="s">
        <v>344</v>
      </c>
      <c r="G266" t="s">
        <v>343</v>
      </c>
      <c r="H266" s="1">
        <v>44484</v>
      </c>
      <c r="I266" s="1">
        <v>24746</v>
      </c>
      <c r="J266" s="1">
        <v>31661</v>
      </c>
      <c r="K266" s="1">
        <v>17566</v>
      </c>
      <c r="L266" s="1">
        <v>17362.480501720816</v>
      </c>
      <c r="M266" s="1">
        <v>21400.85</v>
      </c>
      <c r="N266" s="1">
        <v>32384</v>
      </c>
      <c r="O266" s="1">
        <v>59311.999999999993</v>
      </c>
      <c r="P266" s="1">
        <v>35884</v>
      </c>
      <c r="Q266" s="1">
        <v>59312</v>
      </c>
      <c r="R266" s="1">
        <v>55285.07894736842</v>
      </c>
      <c r="S266" s="1">
        <v>22544.1</v>
      </c>
      <c r="T266" s="1">
        <v>24698</v>
      </c>
      <c r="U266" s="1">
        <v>49838</v>
      </c>
      <c r="V266" s="3">
        <f>_xlfn.XLOOKUP(Table2[[#This Row],[admin3Pcode]],'Inter-sector dataset'!F:F,'Inter-sector dataset'!Q:Q)</f>
        <v>1</v>
      </c>
      <c r="W266" s="3">
        <f>_xlfn.XLOOKUP(Table2[[#This Row],[admin3Pcode]],'Inter-sector dataset'!F:F,'Inter-sector dataset'!R:R)</f>
        <v>0</v>
      </c>
      <c r="X266" s="1">
        <f>IFERROR(Table2[[#This Row],[Health_PIN]]*$V266,)</f>
        <v>44484</v>
      </c>
      <c r="Y266" s="1">
        <f>IFERROR(Table2[[#This Row],[CCCM_PIN]]*$V266,)</f>
        <v>24746</v>
      </c>
      <c r="Z266" s="1">
        <f>IFERROR(Table2[[#This Row],[ERL_PIN]]*$V266,)</f>
        <v>31661</v>
      </c>
      <c r="AA266" s="1">
        <f>IFERROR(Table2[[#This Row],[NFI_PIN]]*$V266,)</f>
        <v>17566</v>
      </c>
      <c r="AB266" s="1">
        <f>IFERROR(Table2[[#This Row],[Nutrition_PIN]]*$V266,)</f>
        <v>17362.480501720816</v>
      </c>
      <c r="AC266" s="1">
        <f>IFERROR(Table2[[#This Row],[Education_PIN]]*$V266,)</f>
        <v>21400.85</v>
      </c>
      <c r="AD266" s="1">
        <f>IFERROR(Table2[[#This Row],[Shelter_PIN]]*$V266,)</f>
        <v>32384</v>
      </c>
      <c r="AE266" s="1">
        <f>IFERROR(Table2[[#This Row],[WASH_PIN]]*$V266,)</f>
        <v>59311.999999999993</v>
      </c>
      <c r="AF266" s="1">
        <f>IFERROR(Table2[[#This Row],[WASH_acute_PIN]]*$V266,)</f>
        <v>35884</v>
      </c>
      <c r="AG266" s="1">
        <f>IFERROR(Table2[[#This Row],[Protection_PIN]]*$V266,)</f>
        <v>59312</v>
      </c>
      <c r="AH266" s="1">
        <f>IFERROR(Table2[[#This Row],[Food_PIN]]*$V266,)</f>
        <v>55285.07894736842</v>
      </c>
      <c r="AI266" s="1">
        <f>IFERROR(Table2[[#This Row],[Protection_CP_PIN]]*$V266,)</f>
        <v>22544.1</v>
      </c>
      <c r="AJ266" s="1">
        <f>IFERROR(Table2[[#This Row],[Protection_GBV_PIN]]*$V266,)</f>
        <v>24698</v>
      </c>
      <c r="AK266" s="1">
        <f>IFERROR(Table2[[#This Row],[Protection_MA_PIN]]*$V266,)</f>
        <v>49838</v>
      </c>
      <c r="AL266" s="1">
        <f>IFERROR(Table2[[#This Row],[Health_PIN]]*$W266,)</f>
        <v>0</v>
      </c>
      <c r="AM266" s="1">
        <f>IFERROR(Table2[[#This Row],[CCCM_PIN]]*$W266,)</f>
        <v>0</v>
      </c>
      <c r="AN266" s="1">
        <f>IFERROR(Table2[[#This Row],[ERL_PIN]]*$W266,)</f>
        <v>0</v>
      </c>
      <c r="AO266" s="1">
        <f>IFERROR(Table2[[#This Row],[NFI_PIN]]*$W266,)</f>
        <v>0</v>
      </c>
      <c r="AP266" s="1">
        <f>IFERROR(Table2[[#This Row],[Nutrition_PIN]]*$W266,)</f>
        <v>0</v>
      </c>
      <c r="AQ266" s="1">
        <f>IFERROR(Table2[[#This Row],[Education_PIN]]*$W266,)</f>
        <v>0</v>
      </c>
      <c r="AR266" s="1">
        <f>IFERROR(Table2[[#This Row],[Shelter_PIN]]*$W266,)</f>
        <v>0</v>
      </c>
      <c r="AS266" s="1">
        <f>IFERROR(Table2[[#This Row],[WASH_PIN]]*$W266,)</f>
        <v>0</v>
      </c>
      <c r="AT266" s="1">
        <f>IFERROR(Table2[[#This Row],[WASH_acute_PIN]]*$W266,)</f>
        <v>0</v>
      </c>
      <c r="AU266" s="1">
        <f>IFERROR(Table2[[#This Row],[Protection_PIN]]*$W266,)</f>
        <v>0</v>
      </c>
      <c r="AV266" s="1">
        <f>IFERROR(Table2[[#This Row],[Food_PIN]]*$W266,)</f>
        <v>0</v>
      </c>
      <c r="AW266" s="1">
        <f>IFERROR(Table2[[#This Row],[Protection_CP_PIN]]*$W266,)</f>
        <v>0</v>
      </c>
      <c r="AX266" s="1">
        <f>IFERROR(Table2[[#This Row],[Protection_GBV_PIN]]*$W266,)</f>
        <v>0</v>
      </c>
      <c r="AY266" s="1">
        <f>IFERROR(Table2[[#This Row],[Protection_MA_PIN]]*$W266,)</f>
        <v>0</v>
      </c>
      <c r="AZ266" s="1">
        <v>4</v>
      </c>
      <c r="BA266" s="1">
        <v>3</v>
      </c>
      <c r="BB266" s="1">
        <v>4</v>
      </c>
      <c r="BC266" s="1">
        <v>3</v>
      </c>
      <c r="BD266" s="1">
        <v>3</v>
      </c>
      <c r="BE266" s="1">
        <v>4</v>
      </c>
      <c r="BF266" s="1">
        <v>5</v>
      </c>
      <c r="BG266" s="1">
        <v>4</v>
      </c>
      <c r="BH266" s="1">
        <v>4</v>
      </c>
      <c r="BI266" s="1">
        <v>5</v>
      </c>
      <c r="BJ266" s="1">
        <v>4</v>
      </c>
      <c r="BK266" s="1">
        <v>4</v>
      </c>
      <c r="BL266" s="1">
        <v>4</v>
      </c>
    </row>
    <row r="267" spans="1:64" x14ac:dyDescent="0.35">
      <c r="A267" t="s">
        <v>184</v>
      </c>
      <c r="B267" t="s">
        <v>730</v>
      </c>
      <c r="C267" t="s">
        <v>185</v>
      </c>
      <c r="D267" t="s">
        <v>187</v>
      </c>
      <c r="E267" t="s">
        <v>962</v>
      </c>
      <c r="F267" t="s">
        <v>188</v>
      </c>
      <c r="G267" t="s">
        <v>187</v>
      </c>
      <c r="H267" s="1">
        <v>65181</v>
      </c>
      <c r="I267" s="1">
        <v>54659</v>
      </c>
      <c r="J267" s="1">
        <v>62842</v>
      </c>
      <c r="K267" s="1">
        <v>50661</v>
      </c>
      <c r="L267" s="1">
        <v>15617.6314472374</v>
      </c>
      <c r="M267" s="1">
        <v>21865.333333333332</v>
      </c>
      <c r="N267" s="1">
        <v>37613</v>
      </c>
      <c r="O267" s="1">
        <v>65181</v>
      </c>
      <c r="P267" s="1">
        <v>65181</v>
      </c>
      <c r="Q267" s="1">
        <v>65181</v>
      </c>
      <c r="R267" s="1">
        <v>63861.109090909093</v>
      </c>
      <c r="S267" s="1">
        <v>24981.200000000001</v>
      </c>
      <c r="T267" s="1">
        <v>36290</v>
      </c>
      <c r="U267" s="1">
        <v>63571</v>
      </c>
      <c r="V267" s="3">
        <f>_xlfn.XLOOKUP(Table2[[#This Row],[admin3Pcode]],'Inter-sector dataset'!F:F,'Inter-sector dataset'!Q:Q)</f>
        <v>0</v>
      </c>
      <c r="W267" s="3">
        <f>_xlfn.XLOOKUP(Table2[[#This Row],[admin3Pcode]],'Inter-sector dataset'!F:F,'Inter-sector dataset'!R:R)</f>
        <v>0</v>
      </c>
      <c r="X267" s="1">
        <f>IFERROR(Table2[[#This Row],[Health_PIN]]*$V267,)</f>
        <v>0</v>
      </c>
      <c r="Y267" s="1">
        <f>IFERROR(Table2[[#This Row],[CCCM_PIN]]*$V267,)</f>
        <v>0</v>
      </c>
      <c r="Z267" s="1">
        <f>IFERROR(Table2[[#This Row],[ERL_PIN]]*$V267,)</f>
        <v>0</v>
      </c>
      <c r="AA267" s="1">
        <f>IFERROR(Table2[[#This Row],[NFI_PIN]]*$V267,)</f>
        <v>0</v>
      </c>
      <c r="AB267" s="1">
        <f>IFERROR(Table2[[#This Row],[Nutrition_PIN]]*$V267,)</f>
        <v>0</v>
      </c>
      <c r="AC267" s="1">
        <f>IFERROR(Table2[[#This Row],[Education_PIN]]*$V267,)</f>
        <v>0</v>
      </c>
      <c r="AD267" s="1">
        <f>IFERROR(Table2[[#This Row],[Shelter_PIN]]*$V267,)</f>
        <v>0</v>
      </c>
      <c r="AE267" s="1">
        <f>IFERROR(Table2[[#This Row],[WASH_PIN]]*$V267,)</f>
        <v>0</v>
      </c>
      <c r="AF267" s="1">
        <f>IFERROR(Table2[[#This Row],[WASH_acute_PIN]]*$V267,)</f>
        <v>0</v>
      </c>
      <c r="AG267" s="1">
        <f>IFERROR(Table2[[#This Row],[Protection_PIN]]*$V267,)</f>
        <v>0</v>
      </c>
      <c r="AH267" s="1">
        <f>IFERROR(Table2[[#This Row],[Food_PIN]]*$V267,)</f>
        <v>0</v>
      </c>
      <c r="AI267" s="1">
        <f>IFERROR(Table2[[#This Row],[Protection_CP_PIN]]*$V267,)</f>
        <v>0</v>
      </c>
      <c r="AJ267" s="1">
        <f>IFERROR(Table2[[#This Row],[Protection_GBV_PIN]]*$V267,)</f>
        <v>0</v>
      </c>
      <c r="AK267" s="1">
        <f>IFERROR(Table2[[#This Row],[Protection_MA_PIN]]*$V267,)</f>
        <v>0</v>
      </c>
      <c r="AL267" s="1">
        <f>IFERROR(Table2[[#This Row],[Health_PIN]]*$W267,)</f>
        <v>0</v>
      </c>
      <c r="AM267" s="1">
        <f>IFERROR(Table2[[#This Row],[CCCM_PIN]]*$W267,)</f>
        <v>0</v>
      </c>
      <c r="AN267" s="1">
        <f>IFERROR(Table2[[#This Row],[ERL_PIN]]*$W267,)</f>
        <v>0</v>
      </c>
      <c r="AO267" s="1">
        <f>IFERROR(Table2[[#This Row],[NFI_PIN]]*$W267,)</f>
        <v>0</v>
      </c>
      <c r="AP267" s="1">
        <f>IFERROR(Table2[[#This Row],[Nutrition_PIN]]*$W267,)</f>
        <v>0</v>
      </c>
      <c r="AQ267" s="1">
        <f>IFERROR(Table2[[#This Row],[Education_PIN]]*$W267,)</f>
        <v>0</v>
      </c>
      <c r="AR267" s="1">
        <f>IFERROR(Table2[[#This Row],[Shelter_PIN]]*$W267,)</f>
        <v>0</v>
      </c>
      <c r="AS267" s="1">
        <f>IFERROR(Table2[[#This Row],[WASH_PIN]]*$W267,)</f>
        <v>0</v>
      </c>
      <c r="AT267" s="1">
        <f>IFERROR(Table2[[#This Row],[WASH_acute_PIN]]*$W267,)</f>
        <v>0</v>
      </c>
      <c r="AU267" s="1">
        <f>IFERROR(Table2[[#This Row],[Protection_PIN]]*$W267,)</f>
        <v>0</v>
      </c>
      <c r="AV267" s="1">
        <f>IFERROR(Table2[[#This Row],[Food_PIN]]*$W267,)</f>
        <v>0</v>
      </c>
      <c r="AW267" s="1">
        <f>IFERROR(Table2[[#This Row],[Protection_CP_PIN]]*$W267,)</f>
        <v>0</v>
      </c>
      <c r="AX267" s="1">
        <f>IFERROR(Table2[[#This Row],[Protection_GBV_PIN]]*$W267,)</f>
        <v>0</v>
      </c>
      <c r="AY267" s="1">
        <f>IFERROR(Table2[[#This Row],[Protection_MA_PIN]]*$W267,)</f>
        <v>0</v>
      </c>
      <c r="AZ267" s="1">
        <v>4</v>
      </c>
      <c r="BA267" s="1">
        <v>4</v>
      </c>
      <c r="BB267" s="1">
        <v>5</v>
      </c>
      <c r="BC267" s="1">
        <v>5</v>
      </c>
      <c r="BD267" s="1">
        <v>4</v>
      </c>
      <c r="BE267" s="1">
        <v>5</v>
      </c>
      <c r="BF267" s="1">
        <v>5</v>
      </c>
      <c r="BG267" s="1">
        <v>5</v>
      </c>
      <c r="BH267" s="1">
        <v>5</v>
      </c>
      <c r="BI267" s="1">
        <v>5</v>
      </c>
      <c r="BJ267" s="1">
        <v>4</v>
      </c>
      <c r="BK267" s="1">
        <v>3</v>
      </c>
      <c r="BL267" s="1">
        <v>5</v>
      </c>
    </row>
    <row r="268" spans="1:64" x14ac:dyDescent="0.35">
      <c r="A268" t="s">
        <v>192</v>
      </c>
      <c r="B268" t="s">
        <v>711</v>
      </c>
      <c r="C268" t="s">
        <v>193</v>
      </c>
      <c r="D268" t="s">
        <v>211</v>
      </c>
      <c r="E268" t="s">
        <v>963</v>
      </c>
      <c r="F268" t="s">
        <v>382</v>
      </c>
      <c r="G268" t="s">
        <v>211</v>
      </c>
      <c r="H268" s="1">
        <v>59262.75</v>
      </c>
      <c r="I268" s="1">
        <v>18295</v>
      </c>
      <c r="J268" s="1">
        <v>30839</v>
      </c>
      <c r="K268" s="1">
        <v>23630</v>
      </c>
      <c r="L268" s="1">
        <v>25148.137723738684</v>
      </c>
      <c r="M268" s="1">
        <v>33918.133333333331</v>
      </c>
      <c r="N268" s="1">
        <v>23630</v>
      </c>
      <c r="O268" s="1">
        <v>79017</v>
      </c>
      <c r="P268" s="1">
        <v>63074</v>
      </c>
      <c r="Q268" s="1">
        <v>79017</v>
      </c>
      <c r="R268" s="1">
        <v>68225.672566371679</v>
      </c>
      <c r="S268" s="1">
        <v>37195.199999999997</v>
      </c>
      <c r="T268" s="1">
        <v>34063</v>
      </c>
      <c r="U268" s="1">
        <v>508</v>
      </c>
      <c r="V268" s="3">
        <f>_xlfn.XLOOKUP(Table2[[#This Row],[admin3Pcode]],'Inter-sector dataset'!F:F,'Inter-sector dataset'!Q:Q)</f>
        <v>1</v>
      </c>
      <c r="W268" s="3">
        <f>_xlfn.XLOOKUP(Table2[[#This Row],[admin3Pcode]],'Inter-sector dataset'!F:F,'Inter-sector dataset'!R:R)</f>
        <v>0</v>
      </c>
      <c r="X268" s="1">
        <f>IFERROR(Table2[[#This Row],[Health_PIN]]*$V268,)</f>
        <v>59262.75</v>
      </c>
      <c r="Y268" s="1">
        <f>IFERROR(Table2[[#This Row],[CCCM_PIN]]*$V268,)</f>
        <v>18295</v>
      </c>
      <c r="Z268" s="1">
        <f>IFERROR(Table2[[#This Row],[ERL_PIN]]*$V268,)</f>
        <v>30839</v>
      </c>
      <c r="AA268" s="1">
        <f>IFERROR(Table2[[#This Row],[NFI_PIN]]*$V268,)</f>
        <v>23630</v>
      </c>
      <c r="AB268" s="1">
        <f>IFERROR(Table2[[#This Row],[Nutrition_PIN]]*$V268,)</f>
        <v>25148.137723738684</v>
      </c>
      <c r="AC268" s="1">
        <f>IFERROR(Table2[[#This Row],[Education_PIN]]*$V268,)</f>
        <v>33918.133333333331</v>
      </c>
      <c r="AD268" s="1">
        <f>IFERROR(Table2[[#This Row],[Shelter_PIN]]*$V268,)</f>
        <v>23630</v>
      </c>
      <c r="AE268" s="1">
        <f>IFERROR(Table2[[#This Row],[WASH_PIN]]*$V268,)</f>
        <v>79017</v>
      </c>
      <c r="AF268" s="1">
        <f>IFERROR(Table2[[#This Row],[WASH_acute_PIN]]*$V268,)</f>
        <v>63074</v>
      </c>
      <c r="AG268" s="1">
        <f>IFERROR(Table2[[#This Row],[Protection_PIN]]*$V268,)</f>
        <v>79017</v>
      </c>
      <c r="AH268" s="1">
        <f>IFERROR(Table2[[#This Row],[Food_PIN]]*$V268,)</f>
        <v>68225.672566371679</v>
      </c>
      <c r="AI268" s="1">
        <f>IFERROR(Table2[[#This Row],[Protection_CP_PIN]]*$V268,)</f>
        <v>37195.199999999997</v>
      </c>
      <c r="AJ268" s="1">
        <f>IFERROR(Table2[[#This Row],[Protection_GBV_PIN]]*$V268,)</f>
        <v>34063</v>
      </c>
      <c r="AK268" s="1">
        <f>IFERROR(Table2[[#This Row],[Protection_MA_PIN]]*$V268,)</f>
        <v>508</v>
      </c>
      <c r="AL268" s="1">
        <f>IFERROR(Table2[[#This Row],[Health_PIN]]*$W268,)</f>
        <v>0</v>
      </c>
      <c r="AM268" s="1">
        <f>IFERROR(Table2[[#This Row],[CCCM_PIN]]*$W268,)</f>
        <v>0</v>
      </c>
      <c r="AN268" s="1">
        <f>IFERROR(Table2[[#This Row],[ERL_PIN]]*$W268,)</f>
        <v>0</v>
      </c>
      <c r="AO268" s="1">
        <f>IFERROR(Table2[[#This Row],[NFI_PIN]]*$W268,)</f>
        <v>0</v>
      </c>
      <c r="AP268" s="1">
        <f>IFERROR(Table2[[#This Row],[Nutrition_PIN]]*$W268,)</f>
        <v>0</v>
      </c>
      <c r="AQ268" s="1">
        <f>IFERROR(Table2[[#This Row],[Education_PIN]]*$W268,)</f>
        <v>0</v>
      </c>
      <c r="AR268" s="1">
        <f>IFERROR(Table2[[#This Row],[Shelter_PIN]]*$W268,)</f>
        <v>0</v>
      </c>
      <c r="AS268" s="1">
        <f>IFERROR(Table2[[#This Row],[WASH_PIN]]*$W268,)</f>
        <v>0</v>
      </c>
      <c r="AT268" s="1">
        <f>IFERROR(Table2[[#This Row],[WASH_acute_PIN]]*$W268,)</f>
        <v>0</v>
      </c>
      <c r="AU268" s="1">
        <f>IFERROR(Table2[[#This Row],[Protection_PIN]]*$W268,)</f>
        <v>0</v>
      </c>
      <c r="AV268" s="1">
        <f>IFERROR(Table2[[#This Row],[Food_PIN]]*$W268,)</f>
        <v>0</v>
      </c>
      <c r="AW268" s="1">
        <f>IFERROR(Table2[[#This Row],[Protection_CP_PIN]]*$W268,)</f>
        <v>0</v>
      </c>
      <c r="AX268" s="1">
        <f>IFERROR(Table2[[#This Row],[Protection_GBV_PIN]]*$W268,)</f>
        <v>0</v>
      </c>
      <c r="AY268" s="1">
        <f>IFERROR(Table2[[#This Row],[Protection_MA_PIN]]*$W268,)</f>
        <v>0</v>
      </c>
      <c r="AZ268" s="1">
        <v>3</v>
      </c>
      <c r="BA268" s="1">
        <v>4</v>
      </c>
      <c r="BB268" s="1">
        <v>5</v>
      </c>
      <c r="BC268" s="1">
        <v>3</v>
      </c>
      <c r="BD268" s="1">
        <v>2</v>
      </c>
      <c r="BE268" s="1">
        <v>4</v>
      </c>
      <c r="BF268" s="1">
        <v>5</v>
      </c>
      <c r="BG268" s="1">
        <v>5</v>
      </c>
      <c r="BH268" s="1">
        <v>4</v>
      </c>
      <c r="BI268" s="1">
        <v>5</v>
      </c>
      <c r="BJ268" s="1">
        <v>4</v>
      </c>
      <c r="BK268" s="1">
        <v>4</v>
      </c>
      <c r="BL268" s="1">
        <v>4</v>
      </c>
    </row>
    <row r="269" spans="1:64" x14ac:dyDescent="0.35">
      <c r="A269" t="s">
        <v>192</v>
      </c>
      <c r="B269" t="s">
        <v>711</v>
      </c>
      <c r="C269" t="s">
        <v>193</v>
      </c>
      <c r="D269" t="s">
        <v>194</v>
      </c>
      <c r="E269" t="s">
        <v>964</v>
      </c>
      <c r="F269" t="s">
        <v>224</v>
      </c>
      <c r="G269" t="s">
        <v>194</v>
      </c>
      <c r="H269" s="1">
        <v>78883.5</v>
      </c>
      <c r="I269" s="1">
        <v>378</v>
      </c>
      <c r="J269" s="1">
        <v>53382</v>
      </c>
      <c r="K269" s="1">
        <v>16565</v>
      </c>
      <c r="L269" s="1">
        <v>31588.226327994955</v>
      </c>
      <c r="M269" s="1">
        <v>41982.26666666667</v>
      </c>
      <c r="N269" s="1">
        <v>31756</v>
      </c>
      <c r="O269" s="1">
        <v>96379.996195934466</v>
      </c>
      <c r="P269" s="1">
        <v>66608</v>
      </c>
      <c r="Q269" s="1">
        <v>105178</v>
      </c>
      <c r="R269" s="1">
        <v>64525.931034482754</v>
      </c>
      <c r="S269" s="1">
        <v>34486.199999999997</v>
      </c>
      <c r="T269" s="1">
        <v>56578</v>
      </c>
      <c r="U269" s="1">
        <v>105178</v>
      </c>
      <c r="V269" s="3">
        <f>_xlfn.XLOOKUP(Table2[[#This Row],[admin3Pcode]],'Inter-sector dataset'!F:F,'Inter-sector dataset'!Q:Q)</f>
        <v>1</v>
      </c>
      <c r="W269" s="3">
        <f>_xlfn.XLOOKUP(Table2[[#This Row],[admin3Pcode]],'Inter-sector dataset'!F:F,'Inter-sector dataset'!R:R)</f>
        <v>0</v>
      </c>
      <c r="X269" s="1">
        <f>IFERROR(Table2[[#This Row],[Health_PIN]]*$V269,)</f>
        <v>78883.5</v>
      </c>
      <c r="Y269" s="1">
        <f>IFERROR(Table2[[#This Row],[CCCM_PIN]]*$V269,)</f>
        <v>378</v>
      </c>
      <c r="Z269" s="1">
        <f>IFERROR(Table2[[#This Row],[ERL_PIN]]*$V269,)</f>
        <v>53382</v>
      </c>
      <c r="AA269" s="1">
        <f>IFERROR(Table2[[#This Row],[NFI_PIN]]*$V269,)</f>
        <v>16565</v>
      </c>
      <c r="AB269" s="1">
        <f>IFERROR(Table2[[#This Row],[Nutrition_PIN]]*$V269,)</f>
        <v>31588.226327994955</v>
      </c>
      <c r="AC269" s="1">
        <f>IFERROR(Table2[[#This Row],[Education_PIN]]*$V269,)</f>
        <v>41982.26666666667</v>
      </c>
      <c r="AD269" s="1">
        <f>IFERROR(Table2[[#This Row],[Shelter_PIN]]*$V269,)</f>
        <v>31756</v>
      </c>
      <c r="AE269" s="1">
        <f>IFERROR(Table2[[#This Row],[WASH_PIN]]*$V269,)</f>
        <v>96379.996195934466</v>
      </c>
      <c r="AF269" s="1">
        <f>IFERROR(Table2[[#This Row],[WASH_acute_PIN]]*$V269,)</f>
        <v>66608</v>
      </c>
      <c r="AG269" s="1">
        <f>IFERROR(Table2[[#This Row],[Protection_PIN]]*$V269,)</f>
        <v>105178</v>
      </c>
      <c r="AH269" s="1">
        <f>IFERROR(Table2[[#This Row],[Food_PIN]]*$V269,)</f>
        <v>64525.931034482754</v>
      </c>
      <c r="AI269" s="1">
        <f>IFERROR(Table2[[#This Row],[Protection_CP_PIN]]*$V269,)</f>
        <v>34486.199999999997</v>
      </c>
      <c r="AJ269" s="1">
        <f>IFERROR(Table2[[#This Row],[Protection_GBV_PIN]]*$V269,)</f>
        <v>56578</v>
      </c>
      <c r="AK269" s="1">
        <f>IFERROR(Table2[[#This Row],[Protection_MA_PIN]]*$V269,)</f>
        <v>105178</v>
      </c>
      <c r="AL269" s="1">
        <f>IFERROR(Table2[[#This Row],[Health_PIN]]*$W269,)</f>
        <v>0</v>
      </c>
      <c r="AM269" s="1">
        <f>IFERROR(Table2[[#This Row],[CCCM_PIN]]*$W269,)</f>
        <v>0</v>
      </c>
      <c r="AN269" s="1">
        <f>IFERROR(Table2[[#This Row],[ERL_PIN]]*$W269,)</f>
        <v>0</v>
      </c>
      <c r="AO269" s="1">
        <f>IFERROR(Table2[[#This Row],[NFI_PIN]]*$W269,)</f>
        <v>0</v>
      </c>
      <c r="AP269" s="1">
        <f>IFERROR(Table2[[#This Row],[Nutrition_PIN]]*$W269,)</f>
        <v>0</v>
      </c>
      <c r="AQ269" s="1">
        <f>IFERROR(Table2[[#This Row],[Education_PIN]]*$W269,)</f>
        <v>0</v>
      </c>
      <c r="AR269" s="1">
        <f>IFERROR(Table2[[#This Row],[Shelter_PIN]]*$W269,)</f>
        <v>0</v>
      </c>
      <c r="AS269" s="1">
        <f>IFERROR(Table2[[#This Row],[WASH_PIN]]*$W269,)</f>
        <v>0</v>
      </c>
      <c r="AT269" s="1">
        <f>IFERROR(Table2[[#This Row],[WASH_acute_PIN]]*$W269,)</f>
        <v>0</v>
      </c>
      <c r="AU269" s="1">
        <f>IFERROR(Table2[[#This Row],[Protection_PIN]]*$W269,)</f>
        <v>0</v>
      </c>
      <c r="AV269" s="1">
        <f>IFERROR(Table2[[#This Row],[Food_PIN]]*$W269,)</f>
        <v>0</v>
      </c>
      <c r="AW269" s="1">
        <f>IFERROR(Table2[[#This Row],[Protection_CP_PIN]]*$W269,)</f>
        <v>0</v>
      </c>
      <c r="AX269" s="1">
        <f>IFERROR(Table2[[#This Row],[Protection_GBV_PIN]]*$W269,)</f>
        <v>0</v>
      </c>
      <c r="AY269" s="1">
        <f>IFERROR(Table2[[#This Row],[Protection_MA_PIN]]*$W269,)</f>
        <v>0</v>
      </c>
      <c r="AZ269" s="1">
        <v>4</v>
      </c>
      <c r="BA269" s="1">
        <v>5</v>
      </c>
      <c r="BB269" s="1">
        <v>5</v>
      </c>
      <c r="BC269" s="1">
        <v>3</v>
      </c>
      <c r="BD269" s="1">
        <v>3</v>
      </c>
      <c r="BE269" s="1">
        <v>4</v>
      </c>
      <c r="BF269" s="1">
        <v>5</v>
      </c>
      <c r="BG269" s="1">
        <v>4</v>
      </c>
      <c r="BH269" s="1">
        <v>5</v>
      </c>
      <c r="BI269" s="1">
        <v>5</v>
      </c>
      <c r="BJ269" s="1">
        <v>4</v>
      </c>
      <c r="BK269" s="1">
        <v>3</v>
      </c>
      <c r="BL269" s="1">
        <v>4</v>
      </c>
    </row>
    <row r="270" spans="1:64" x14ac:dyDescent="0.35">
      <c r="A270" t="s">
        <v>192</v>
      </c>
      <c r="B270" t="s">
        <v>711</v>
      </c>
      <c r="C270" t="s">
        <v>193</v>
      </c>
      <c r="D270" t="s">
        <v>290</v>
      </c>
      <c r="E270" t="s">
        <v>965</v>
      </c>
      <c r="F270" t="s">
        <v>291</v>
      </c>
      <c r="G270" t="s">
        <v>290</v>
      </c>
      <c r="H270" s="1">
        <v>211589</v>
      </c>
      <c r="I270" s="1">
        <v>33676</v>
      </c>
      <c r="J270" s="1">
        <v>123848</v>
      </c>
      <c r="K270" s="1">
        <v>118197</v>
      </c>
      <c r="L270" s="1">
        <v>56554.076380458922</v>
      </c>
      <c r="M270" s="1">
        <v>100056.63333333333</v>
      </c>
      <c r="N270" s="1">
        <v>60558</v>
      </c>
      <c r="O270" s="1">
        <v>207443.43317976262</v>
      </c>
      <c r="P270" s="1">
        <v>106800</v>
      </c>
      <c r="Q270" s="1">
        <v>211589</v>
      </c>
      <c r="R270" s="1">
        <v>176767.97872340426</v>
      </c>
      <c r="S270" s="1">
        <v>89119.5</v>
      </c>
      <c r="T270" s="1">
        <v>86897</v>
      </c>
      <c r="U270" s="1">
        <v>177728</v>
      </c>
      <c r="V270" s="3">
        <f>_xlfn.XLOOKUP(Table2[[#This Row],[admin3Pcode]],'Inter-sector dataset'!F:F,'Inter-sector dataset'!Q:Q)</f>
        <v>1</v>
      </c>
      <c r="W270" s="3">
        <f>_xlfn.XLOOKUP(Table2[[#This Row],[admin3Pcode]],'Inter-sector dataset'!F:F,'Inter-sector dataset'!R:R)</f>
        <v>0</v>
      </c>
      <c r="X270" s="1">
        <f>IFERROR(Table2[[#This Row],[Health_PIN]]*$V270,)</f>
        <v>211589</v>
      </c>
      <c r="Y270" s="1">
        <f>IFERROR(Table2[[#This Row],[CCCM_PIN]]*$V270,)</f>
        <v>33676</v>
      </c>
      <c r="Z270" s="1">
        <f>IFERROR(Table2[[#This Row],[ERL_PIN]]*$V270,)</f>
        <v>123848</v>
      </c>
      <c r="AA270" s="1">
        <f>IFERROR(Table2[[#This Row],[NFI_PIN]]*$V270,)</f>
        <v>118197</v>
      </c>
      <c r="AB270" s="1">
        <f>IFERROR(Table2[[#This Row],[Nutrition_PIN]]*$V270,)</f>
        <v>56554.076380458922</v>
      </c>
      <c r="AC270" s="1">
        <f>IFERROR(Table2[[#This Row],[Education_PIN]]*$V270,)</f>
        <v>100056.63333333333</v>
      </c>
      <c r="AD270" s="1">
        <f>IFERROR(Table2[[#This Row],[Shelter_PIN]]*$V270,)</f>
        <v>60558</v>
      </c>
      <c r="AE270" s="1">
        <f>IFERROR(Table2[[#This Row],[WASH_PIN]]*$V270,)</f>
        <v>207443.43317976262</v>
      </c>
      <c r="AF270" s="1">
        <f>IFERROR(Table2[[#This Row],[WASH_acute_PIN]]*$V270,)</f>
        <v>106800</v>
      </c>
      <c r="AG270" s="1">
        <f>IFERROR(Table2[[#This Row],[Protection_PIN]]*$V270,)</f>
        <v>211589</v>
      </c>
      <c r="AH270" s="1">
        <f>IFERROR(Table2[[#This Row],[Food_PIN]]*$V270,)</f>
        <v>176767.97872340426</v>
      </c>
      <c r="AI270" s="1">
        <f>IFERROR(Table2[[#This Row],[Protection_CP_PIN]]*$V270,)</f>
        <v>89119.5</v>
      </c>
      <c r="AJ270" s="1">
        <f>IFERROR(Table2[[#This Row],[Protection_GBV_PIN]]*$V270,)</f>
        <v>86897</v>
      </c>
      <c r="AK270" s="1">
        <f>IFERROR(Table2[[#This Row],[Protection_MA_PIN]]*$V270,)</f>
        <v>177728</v>
      </c>
      <c r="AL270" s="1">
        <f>IFERROR(Table2[[#This Row],[Health_PIN]]*$W270,)</f>
        <v>0</v>
      </c>
      <c r="AM270" s="1">
        <f>IFERROR(Table2[[#This Row],[CCCM_PIN]]*$W270,)</f>
        <v>0</v>
      </c>
      <c r="AN270" s="1">
        <f>IFERROR(Table2[[#This Row],[ERL_PIN]]*$W270,)</f>
        <v>0</v>
      </c>
      <c r="AO270" s="1">
        <f>IFERROR(Table2[[#This Row],[NFI_PIN]]*$W270,)</f>
        <v>0</v>
      </c>
      <c r="AP270" s="1">
        <f>IFERROR(Table2[[#This Row],[Nutrition_PIN]]*$W270,)</f>
        <v>0</v>
      </c>
      <c r="AQ270" s="1">
        <f>IFERROR(Table2[[#This Row],[Education_PIN]]*$W270,)</f>
        <v>0</v>
      </c>
      <c r="AR270" s="1">
        <f>IFERROR(Table2[[#This Row],[Shelter_PIN]]*$W270,)</f>
        <v>0</v>
      </c>
      <c r="AS270" s="1">
        <f>IFERROR(Table2[[#This Row],[WASH_PIN]]*$W270,)</f>
        <v>0</v>
      </c>
      <c r="AT270" s="1">
        <f>IFERROR(Table2[[#This Row],[WASH_acute_PIN]]*$W270,)</f>
        <v>0</v>
      </c>
      <c r="AU270" s="1">
        <f>IFERROR(Table2[[#This Row],[Protection_PIN]]*$W270,)</f>
        <v>0</v>
      </c>
      <c r="AV270" s="1">
        <f>IFERROR(Table2[[#This Row],[Food_PIN]]*$W270,)</f>
        <v>0</v>
      </c>
      <c r="AW270" s="1">
        <f>IFERROR(Table2[[#This Row],[Protection_CP_PIN]]*$W270,)</f>
        <v>0</v>
      </c>
      <c r="AX270" s="1">
        <f>IFERROR(Table2[[#This Row],[Protection_GBV_PIN]]*$W270,)</f>
        <v>0</v>
      </c>
      <c r="AY270" s="1">
        <f>IFERROR(Table2[[#This Row],[Protection_MA_PIN]]*$W270,)</f>
        <v>0</v>
      </c>
      <c r="AZ270" s="1">
        <v>3</v>
      </c>
      <c r="BA270" s="1">
        <v>4</v>
      </c>
      <c r="BB270" s="1">
        <v>4</v>
      </c>
      <c r="BC270" s="1">
        <v>4</v>
      </c>
      <c r="BD270" s="1">
        <v>3</v>
      </c>
      <c r="BE270" s="1">
        <v>5</v>
      </c>
      <c r="BF270" s="1">
        <v>5</v>
      </c>
      <c r="BG270" s="1">
        <v>4</v>
      </c>
      <c r="BH270" s="1">
        <v>4</v>
      </c>
      <c r="BI270" s="1">
        <v>5</v>
      </c>
      <c r="BJ270" s="1">
        <v>4</v>
      </c>
      <c r="BK270" s="1">
        <v>3</v>
      </c>
      <c r="BL270" s="1">
        <v>4</v>
      </c>
    </row>
    <row r="271" spans="1:64" x14ac:dyDescent="0.35">
      <c r="A271" t="s">
        <v>157</v>
      </c>
      <c r="B271" t="s">
        <v>748</v>
      </c>
      <c r="C271" t="s">
        <v>158</v>
      </c>
      <c r="D271" t="s">
        <v>157</v>
      </c>
      <c r="E271" t="s">
        <v>966</v>
      </c>
      <c r="F271" t="s">
        <v>274</v>
      </c>
      <c r="G271" t="s">
        <v>157</v>
      </c>
      <c r="H271" s="1">
        <v>206920.5</v>
      </c>
      <c r="I271" s="1">
        <v>1296</v>
      </c>
      <c r="J271" s="1">
        <v>125147</v>
      </c>
      <c r="K271" s="1">
        <v>55640</v>
      </c>
      <c r="L271" s="1">
        <v>81158.989731732465</v>
      </c>
      <c r="M271" s="1">
        <v>131917.91666666666</v>
      </c>
      <c r="N271" s="1">
        <v>55640</v>
      </c>
      <c r="O271" s="1">
        <v>77822.587346970409</v>
      </c>
      <c r="P271" s="1">
        <v>14098</v>
      </c>
      <c r="Q271" s="1">
        <v>275894</v>
      </c>
      <c r="R271" s="1">
        <v>231505.11386138614</v>
      </c>
      <c r="S271" s="1">
        <v>129702</v>
      </c>
      <c r="T271" s="1">
        <v>82449</v>
      </c>
      <c r="U271" s="1">
        <v>33777</v>
      </c>
      <c r="V271" s="3">
        <f>_xlfn.XLOOKUP(Table2[[#This Row],[admin3Pcode]],'Inter-sector dataset'!F:F,'Inter-sector dataset'!Q:Q)</f>
        <v>0</v>
      </c>
      <c r="W271" s="3">
        <f>_xlfn.XLOOKUP(Table2[[#This Row],[admin3Pcode]],'Inter-sector dataset'!F:F,'Inter-sector dataset'!R:R)</f>
        <v>0</v>
      </c>
      <c r="X271" s="1">
        <f>IFERROR(Table2[[#This Row],[Health_PIN]]*$V271,)</f>
        <v>0</v>
      </c>
      <c r="Y271" s="1">
        <f>IFERROR(Table2[[#This Row],[CCCM_PIN]]*$V271,)</f>
        <v>0</v>
      </c>
      <c r="Z271" s="1">
        <f>IFERROR(Table2[[#This Row],[ERL_PIN]]*$V271,)</f>
        <v>0</v>
      </c>
      <c r="AA271" s="1">
        <f>IFERROR(Table2[[#This Row],[NFI_PIN]]*$V271,)</f>
        <v>0</v>
      </c>
      <c r="AB271" s="1">
        <f>IFERROR(Table2[[#This Row],[Nutrition_PIN]]*$V271,)</f>
        <v>0</v>
      </c>
      <c r="AC271" s="1">
        <f>IFERROR(Table2[[#This Row],[Education_PIN]]*$V271,)</f>
        <v>0</v>
      </c>
      <c r="AD271" s="1">
        <f>IFERROR(Table2[[#This Row],[Shelter_PIN]]*$V271,)</f>
        <v>0</v>
      </c>
      <c r="AE271" s="1">
        <f>IFERROR(Table2[[#This Row],[WASH_PIN]]*$V271,)</f>
        <v>0</v>
      </c>
      <c r="AF271" s="1">
        <f>IFERROR(Table2[[#This Row],[WASH_acute_PIN]]*$V271,)</f>
        <v>0</v>
      </c>
      <c r="AG271" s="1">
        <f>IFERROR(Table2[[#This Row],[Protection_PIN]]*$V271,)</f>
        <v>0</v>
      </c>
      <c r="AH271" s="1">
        <f>IFERROR(Table2[[#This Row],[Food_PIN]]*$V271,)</f>
        <v>0</v>
      </c>
      <c r="AI271" s="1">
        <f>IFERROR(Table2[[#This Row],[Protection_CP_PIN]]*$V271,)</f>
        <v>0</v>
      </c>
      <c r="AJ271" s="1">
        <f>IFERROR(Table2[[#This Row],[Protection_GBV_PIN]]*$V271,)</f>
        <v>0</v>
      </c>
      <c r="AK271" s="1">
        <f>IFERROR(Table2[[#This Row],[Protection_MA_PIN]]*$V271,)</f>
        <v>0</v>
      </c>
      <c r="AL271" s="1">
        <f>IFERROR(Table2[[#This Row],[Health_PIN]]*$W271,)</f>
        <v>0</v>
      </c>
      <c r="AM271" s="1">
        <f>IFERROR(Table2[[#This Row],[CCCM_PIN]]*$W271,)</f>
        <v>0</v>
      </c>
      <c r="AN271" s="1">
        <f>IFERROR(Table2[[#This Row],[ERL_PIN]]*$W271,)</f>
        <v>0</v>
      </c>
      <c r="AO271" s="1">
        <f>IFERROR(Table2[[#This Row],[NFI_PIN]]*$W271,)</f>
        <v>0</v>
      </c>
      <c r="AP271" s="1">
        <f>IFERROR(Table2[[#This Row],[Nutrition_PIN]]*$W271,)</f>
        <v>0</v>
      </c>
      <c r="AQ271" s="1">
        <f>IFERROR(Table2[[#This Row],[Education_PIN]]*$W271,)</f>
        <v>0</v>
      </c>
      <c r="AR271" s="1">
        <f>IFERROR(Table2[[#This Row],[Shelter_PIN]]*$W271,)</f>
        <v>0</v>
      </c>
      <c r="AS271" s="1">
        <f>IFERROR(Table2[[#This Row],[WASH_PIN]]*$W271,)</f>
        <v>0</v>
      </c>
      <c r="AT271" s="1">
        <f>IFERROR(Table2[[#This Row],[WASH_acute_PIN]]*$W271,)</f>
        <v>0</v>
      </c>
      <c r="AU271" s="1">
        <f>IFERROR(Table2[[#This Row],[Protection_PIN]]*$W271,)</f>
        <v>0</v>
      </c>
      <c r="AV271" s="1">
        <f>IFERROR(Table2[[#This Row],[Food_PIN]]*$W271,)</f>
        <v>0</v>
      </c>
      <c r="AW271" s="1">
        <f>IFERROR(Table2[[#This Row],[Protection_CP_PIN]]*$W271,)</f>
        <v>0</v>
      </c>
      <c r="AX271" s="1">
        <f>IFERROR(Table2[[#This Row],[Protection_GBV_PIN]]*$W271,)</f>
        <v>0</v>
      </c>
      <c r="AY271" s="1">
        <f>IFERROR(Table2[[#This Row],[Protection_MA_PIN]]*$W271,)</f>
        <v>0</v>
      </c>
      <c r="AZ271" s="1">
        <v>3</v>
      </c>
      <c r="BA271" s="1">
        <v>4</v>
      </c>
      <c r="BB271" s="1">
        <v>4</v>
      </c>
      <c r="BC271" s="1">
        <v>3</v>
      </c>
      <c r="BD271" s="1">
        <v>3</v>
      </c>
      <c r="BE271" s="1">
        <v>4</v>
      </c>
      <c r="BF271" s="1">
        <v>5</v>
      </c>
      <c r="BG271" s="1">
        <v>5</v>
      </c>
      <c r="BH271" s="1">
        <v>3</v>
      </c>
      <c r="BI271" s="1">
        <v>5</v>
      </c>
      <c r="BJ271" s="1">
        <v>4</v>
      </c>
      <c r="BK271" s="1">
        <v>4</v>
      </c>
      <c r="BL271" s="1">
        <v>3</v>
      </c>
    </row>
    <row r="272" spans="1:64" x14ac:dyDescent="0.35">
      <c r="A272" t="s">
        <v>192</v>
      </c>
      <c r="B272" t="s">
        <v>711</v>
      </c>
      <c r="C272" t="s">
        <v>193</v>
      </c>
      <c r="D272" t="s">
        <v>263</v>
      </c>
      <c r="E272" t="s">
        <v>967</v>
      </c>
      <c r="F272" t="s">
        <v>264</v>
      </c>
      <c r="G272" t="s">
        <v>263</v>
      </c>
      <c r="H272" s="1">
        <v>241587</v>
      </c>
      <c r="I272" s="1">
        <v>225989</v>
      </c>
      <c r="J272" s="1">
        <v>248611</v>
      </c>
      <c r="K272" s="1">
        <v>96635</v>
      </c>
      <c r="L272" s="1">
        <v>99917.389925527546</v>
      </c>
      <c r="M272" s="1">
        <v>108472.61666666667</v>
      </c>
      <c r="N272" s="1">
        <v>192844</v>
      </c>
      <c r="O272" s="1">
        <v>311552.21992472251</v>
      </c>
      <c r="P272" s="1">
        <v>105210</v>
      </c>
      <c r="Q272" s="1">
        <v>322116</v>
      </c>
      <c r="R272" s="1">
        <v>293679.34782608692</v>
      </c>
      <c r="S272" s="1">
        <v>119234.1</v>
      </c>
      <c r="T272" s="1">
        <v>186537</v>
      </c>
      <c r="U272" s="1">
        <v>297910</v>
      </c>
      <c r="V272" s="3">
        <f>_xlfn.XLOOKUP(Table2[[#This Row],[admin3Pcode]],'Inter-sector dataset'!F:F,'Inter-sector dataset'!Q:Q)</f>
        <v>1</v>
      </c>
      <c r="W272" s="3">
        <f>_xlfn.XLOOKUP(Table2[[#This Row],[admin3Pcode]],'Inter-sector dataset'!F:F,'Inter-sector dataset'!R:R)</f>
        <v>0</v>
      </c>
      <c r="X272" s="1">
        <f>IFERROR(Table2[[#This Row],[Health_PIN]]*$V272,)</f>
        <v>241587</v>
      </c>
      <c r="Y272" s="1">
        <f>IFERROR(Table2[[#This Row],[CCCM_PIN]]*$V272,)</f>
        <v>225989</v>
      </c>
      <c r="Z272" s="1">
        <f>IFERROR(Table2[[#This Row],[ERL_PIN]]*$V272,)</f>
        <v>248611</v>
      </c>
      <c r="AA272" s="1">
        <f>IFERROR(Table2[[#This Row],[NFI_PIN]]*$V272,)</f>
        <v>96635</v>
      </c>
      <c r="AB272" s="1">
        <f>IFERROR(Table2[[#This Row],[Nutrition_PIN]]*$V272,)</f>
        <v>99917.389925527546</v>
      </c>
      <c r="AC272" s="1">
        <f>IFERROR(Table2[[#This Row],[Education_PIN]]*$V272,)</f>
        <v>108472.61666666667</v>
      </c>
      <c r="AD272" s="1">
        <f>IFERROR(Table2[[#This Row],[Shelter_PIN]]*$V272,)</f>
        <v>192844</v>
      </c>
      <c r="AE272" s="1">
        <f>IFERROR(Table2[[#This Row],[WASH_PIN]]*$V272,)</f>
        <v>311552.21992472251</v>
      </c>
      <c r="AF272" s="1">
        <f>IFERROR(Table2[[#This Row],[WASH_acute_PIN]]*$V272,)</f>
        <v>105210</v>
      </c>
      <c r="AG272" s="1">
        <f>IFERROR(Table2[[#This Row],[Protection_PIN]]*$V272,)</f>
        <v>322116</v>
      </c>
      <c r="AH272" s="1">
        <f>IFERROR(Table2[[#This Row],[Food_PIN]]*$V272,)</f>
        <v>293679.34782608692</v>
      </c>
      <c r="AI272" s="1">
        <f>IFERROR(Table2[[#This Row],[Protection_CP_PIN]]*$V272,)</f>
        <v>119234.1</v>
      </c>
      <c r="AJ272" s="1">
        <f>IFERROR(Table2[[#This Row],[Protection_GBV_PIN]]*$V272,)</f>
        <v>186537</v>
      </c>
      <c r="AK272" s="1">
        <f>IFERROR(Table2[[#This Row],[Protection_MA_PIN]]*$V272,)</f>
        <v>297910</v>
      </c>
      <c r="AL272" s="1">
        <f>IFERROR(Table2[[#This Row],[Health_PIN]]*$W272,)</f>
        <v>0</v>
      </c>
      <c r="AM272" s="1">
        <f>IFERROR(Table2[[#This Row],[CCCM_PIN]]*$W272,)</f>
        <v>0</v>
      </c>
      <c r="AN272" s="1">
        <f>IFERROR(Table2[[#This Row],[ERL_PIN]]*$W272,)</f>
        <v>0</v>
      </c>
      <c r="AO272" s="1">
        <f>IFERROR(Table2[[#This Row],[NFI_PIN]]*$W272,)</f>
        <v>0</v>
      </c>
      <c r="AP272" s="1">
        <f>IFERROR(Table2[[#This Row],[Nutrition_PIN]]*$W272,)</f>
        <v>0</v>
      </c>
      <c r="AQ272" s="1">
        <f>IFERROR(Table2[[#This Row],[Education_PIN]]*$W272,)</f>
        <v>0</v>
      </c>
      <c r="AR272" s="1">
        <f>IFERROR(Table2[[#This Row],[Shelter_PIN]]*$W272,)</f>
        <v>0</v>
      </c>
      <c r="AS272" s="1">
        <f>IFERROR(Table2[[#This Row],[WASH_PIN]]*$W272,)</f>
        <v>0</v>
      </c>
      <c r="AT272" s="1">
        <f>IFERROR(Table2[[#This Row],[WASH_acute_PIN]]*$W272,)</f>
        <v>0</v>
      </c>
      <c r="AU272" s="1">
        <f>IFERROR(Table2[[#This Row],[Protection_PIN]]*$W272,)</f>
        <v>0</v>
      </c>
      <c r="AV272" s="1">
        <f>IFERROR(Table2[[#This Row],[Food_PIN]]*$W272,)</f>
        <v>0</v>
      </c>
      <c r="AW272" s="1">
        <f>IFERROR(Table2[[#This Row],[Protection_CP_PIN]]*$W272,)</f>
        <v>0</v>
      </c>
      <c r="AX272" s="1">
        <f>IFERROR(Table2[[#This Row],[Protection_GBV_PIN]]*$W272,)</f>
        <v>0</v>
      </c>
      <c r="AY272" s="1">
        <f>IFERROR(Table2[[#This Row],[Protection_MA_PIN]]*$W272,)</f>
        <v>0</v>
      </c>
      <c r="AZ272" s="1">
        <v>4</v>
      </c>
      <c r="BA272" s="1">
        <v>4</v>
      </c>
      <c r="BB272" s="1">
        <v>4</v>
      </c>
      <c r="BC272" s="1">
        <v>3</v>
      </c>
      <c r="BD272" s="1">
        <v>3</v>
      </c>
      <c r="BE272" s="1">
        <v>4</v>
      </c>
      <c r="BF272" s="1">
        <v>5</v>
      </c>
      <c r="BG272" s="1">
        <v>4</v>
      </c>
      <c r="BH272" s="1">
        <v>5</v>
      </c>
      <c r="BI272" s="1">
        <v>5</v>
      </c>
      <c r="BJ272" s="1">
        <v>4</v>
      </c>
      <c r="BK272" s="1">
        <v>4</v>
      </c>
      <c r="BL272" s="1">
        <v>4</v>
      </c>
    </row>
    <row r="273" spans="1:64" x14ac:dyDescent="0.35">
      <c r="A273" t="s">
        <v>326</v>
      </c>
      <c r="B273" t="s">
        <v>726</v>
      </c>
      <c r="C273" t="s">
        <v>327</v>
      </c>
      <c r="D273" t="s">
        <v>968</v>
      </c>
      <c r="E273" t="s">
        <v>969</v>
      </c>
      <c r="F273" t="s">
        <v>970</v>
      </c>
      <c r="G273" t="s">
        <v>968</v>
      </c>
      <c r="H273" s="1" t="s">
        <v>665</v>
      </c>
      <c r="I273" s="1" t="s">
        <v>665</v>
      </c>
      <c r="J273" s="1" t="s">
        <v>665</v>
      </c>
      <c r="K273" s="1">
        <v>0</v>
      </c>
      <c r="L273" s="1" t="s">
        <v>665</v>
      </c>
      <c r="M273" s="1" t="s">
        <v>665</v>
      </c>
      <c r="N273" s="1">
        <v>0</v>
      </c>
      <c r="O273" s="1" t="s">
        <v>665</v>
      </c>
      <c r="P273" s="1" t="s">
        <v>665</v>
      </c>
      <c r="Q273" s="1" t="s">
        <v>665</v>
      </c>
      <c r="R273" s="1" t="s">
        <v>665</v>
      </c>
      <c r="S273" s="1" t="s">
        <v>665</v>
      </c>
      <c r="T273" s="1" t="s">
        <v>665</v>
      </c>
      <c r="U273" s="1" t="s">
        <v>665</v>
      </c>
      <c r="V273" s="3"/>
      <c r="W273" s="3"/>
      <c r="X273" s="1">
        <f>IFERROR(Table2[[#This Row],[Health_PIN]]*$V273,)</f>
        <v>0</v>
      </c>
      <c r="Y273" s="1">
        <f>IFERROR(Table2[[#This Row],[CCCM_PIN]]*$V273,)</f>
        <v>0</v>
      </c>
      <c r="Z273" s="1">
        <f>IFERROR(Table2[[#This Row],[ERL_PIN]]*$V273,)</f>
        <v>0</v>
      </c>
      <c r="AA273" s="1">
        <f>IFERROR(Table2[[#This Row],[NFI_PIN]]*$V273,)</f>
        <v>0</v>
      </c>
      <c r="AB273" s="1">
        <f>IFERROR(Table2[[#This Row],[Nutrition_PIN]]*$V273,)</f>
        <v>0</v>
      </c>
      <c r="AC273" s="1">
        <f>IFERROR(Table2[[#This Row],[Education_PIN]]*$V273,)</f>
        <v>0</v>
      </c>
      <c r="AD273" s="1">
        <f>IFERROR(Table2[[#This Row],[Shelter_PIN]]*$V273,)</f>
        <v>0</v>
      </c>
      <c r="AE273" s="1">
        <f>IFERROR(Table2[[#This Row],[WASH_PIN]]*$V273,)</f>
        <v>0</v>
      </c>
      <c r="AF273" s="1">
        <f>IFERROR(Table2[[#This Row],[WASH_acute_PIN]]*$V273,)</f>
        <v>0</v>
      </c>
      <c r="AG273" s="1">
        <f>IFERROR(Table2[[#This Row],[Protection_PIN]]*$V273,)</f>
        <v>0</v>
      </c>
      <c r="AH273" s="1">
        <f>IFERROR(Table2[[#This Row],[Food_PIN]]*$V273,)</f>
        <v>0</v>
      </c>
      <c r="AI273" s="1">
        <f>IFERROR(Table2[[#This Row],[Protection_CP_PIN]]*$V273,)</f>
        <v>0</v>
      </c>
      <c r="AJ273" s="1">
        <f>IFERROR(Table2[[#This Row],[Protection_GBV_PIN]]*$V273,)</f>
        <v>0</v>
      </c>
      <c r="AK273" s="1">
        <f>IFERROR(Table2[[#This Row],[Protection_MA_PIN]]*$V273,)</f>
        <v>0</v>
      </c>
      <c r="AL273" s="1">
        <f>IFERROR(Table2[[#This Row],[Health_PIN]]*$W273,)</f>
        <v>0</v>
      </c>
      <c r="AM273" s="1">
        <f>IFERROR(Table2[[#This Row],[CCCM_PIN]]*$W273,)</f>
        <v>0</v>
      </c>
      <c r="AN273" s="1">
        <f>IFERROR(Table2[[#This Row],[ERL_PIN]]*$W273,)</f>
        <v>0</v>
      </c>
      <c r="AO273" s="1">
        <f>IFERROR(Table2[[#This Row],[NFI_PIN]]*$W273,)</f>
        <v>0</v>
      </c>
      <c r="AP273" s="1">
        <f>IFERROR(Table2[[#This Row],[Nutrition_PIN]]*$W273,)</f>
        <v>0</v>
      </c>
      <c r="AQ273" s="1">
        <f>IFERROR(Table2[[#This Row],[Education_PIN]]*$W273,)</f>
        <v>0</v>
      </c>
      <c r="AR273" s="1">
        <f>IFERROR(Table2[[#This Row],[Shelter_PIN]]*$W273,)</f>
        <v>0</v>
      </c>
      <c r="AS273" s="1">
        <f>IFERROR(Table2[[#This Row],[WASH_PIN]]*$W273,)</f>
        <v>0</v>
      </c>
      <c r="AT273" s="1">
        <f>IFERROR(Table2[[#This Row],[WASH_acute_PIN]]*$W273,)</f>
        <v>0</v>
      </c>
      <c r="AU273" s="1">
        <f>IFERROR(Table2[[#This Row],[Protection_PIN]]*$W273,)</f>
        <v>0</v>
      </c>
      <c r="AV273" s="1">
        <f>IFERROR(Table2[[#This Row],[Food_PIN]]*$W273,)</f>
        <v>0</v>
      </c>
      <c r="AW273" s="1">
        <f>IFERROR(Table2[[#This Row],[Protection_CP_PIN]]*$W273,)</f>
        <v>0</v>
      </c>
      <c r="AX273" s="1">
        <f>IFERROR(Table2[[#This Row],[Protection_GBV_PIN]]*$W273,)</f>
        <v>0</v>
      </c>
      <c r="AY273" s="1">
        <f>IFERROR(Table2[[#This Row],[Protection_MA_PIN]]*$W273,)</f>
        <v>0</v>
      </c>
      <c r="AZ273" s="1">
        <v>0</v>
      </c>
      <c r="BA273" s="1" t="s">
        <v>665</v>
      </c>
      <c r="BB273" s="1" t="s">
        <v>665</v>
      </c>
      <c r="BC273" s="1">
        <v>0</v>
      </c>
      <c r="BD273" s="1" t="s">
        <v>665</v>
      </c>
      <c r="BE273" s="1" t="s">
        <v>665</v>
      </c>
      <c r="BF273" s="1" t="s">
        <v>665</v>
      </c>
      <c r="BG273" s="1" t="s">
        <v>665</v>
      </c>
      <c r="BH273" s="1" t="s">
        <v>665</v>
      </c>
      <c r="BI273" s="1" t="s">
        <v>665</v>
      </c>
      <c r="BJ273" s="1" t="s">
        <v>665</v>
      </c>
      <c r="BK273" s="1" t="s">
        <v>665</v>
      </c>
      <c r="BL273" s="1" t="s">
        <v>665</v>
      </c>
    </row>
    <row r="274" spans="1:64" x14ac:dyDescent="0.35">
      <c r="A274" t="s">
        <v>326</v>
      </c>
      <c r="B274" t="s">
        <v>726</v>
      </c>
      <c r="C274" t="s">
        <v>327</v>
      </c>
      <c r="D274" t="s">
        <v>971</v>
      </c>
      <c r="E274" t="s">
        <v>972</v>
      </c>
      <c r="F274" t="s">
        <v>973</v>
      </c>
      <c r="G274" t="s">
        <v>971</v>
      </c>
      <c r="H274" s="1" t="s">
        <v>665</v>
      </c>
      <c r="I274" s="1" t="s">
        <v>665</v>
      </c>
      <c r="J274" s="1" t="s">
        <v>665</v>
      </c>
      <c r="K274" s="1">
        <v>0</v>
      </c>
      <c r="L274" s="1" t="s">
        <v>665</v>
      </c>
      <c r="M274" s="1" t="s">
        <v>665</v>
      </c>
      <c r="N274" s="1">
        <v>0</v>
      </c>
      <c r="O274" s="1" t="s">
        <v>665</v>
      </c>
      <c r="P274" s="1" t="s">
        <v>974</v>
      </c>
      <c r="Q274" s="1" t="s">
        <v>665</v>
      </c>
      <c r="R274" s="1" t="s">
        <v>665</v>
      </c>
      <c r="S274" s="1" t="s">
        <v>665</v>
      </c>
      <c r="T274" s="1" t="s">
        <v>665</v>
      </c>
      <c r="U274" s="1" t="s">
        <v>665</v>
      </c>
      <c r="V274" s="3"/>
      <c r="W274" s="3"/>
      <c r="X274" s="1">
        <f>IFERROR(Table2[[#This Row],[Health_PIN]]*$V274,)</f>
        <v>0</v>
      </c>
      <c r="Y274" s="1">
        <f>IFERROR(Table2[[#This Row],[CCCM_PIN]]*$V274,)</f>
        <v>0</v>
      </c>
      <c r="Z274" s="1">
        <f>IFERROR(Table2[[#This Row],[ERL_PIN]]*$V274,)</f>
        <v>0</v>
      </c>
      <c r="AA274" s="1">
        <f>IFERROR(Table2[[#This Row],[NFI_PIN]]*$V274,)</f>
        <v>0</v>
      </c>
      <c r="AB274" s="1">
        <f>IFERROR(Table2[[#This Row],[Nutrition_PIN]]*$V274,)</f>
        <v>0</v>
      </c>
      <c r="AC274" s="1">
        <f>IFERROR(Table2[[#This Row],[Education_PIN]]*$V274,)</f>
        <v>0</v>
      </c>
      <c r="AD274" s="1">
        <f>IFERROR(Table2[[#This Row],[Shelter_PIN]]*$V274,)</f>
        <v>0</v>
      </c>
      <c r="AE274" s="1">
        <f>IFERROR(Table2[[#This Row],[WASH_PIN]]*$V274,)</f>
        <v>0</v>
      </c>
      <c r="AF274" s="1">
        <f>IFERROR(Table2[[#This Row],[WASH_acute_PIN]]*$V274,)</f>
        <v>0</v>
      </c>
      <c r="AG274" s="1">
        <f>IFERROR(Table2[[#This Row],[Protection_PIN]]*$V274,)</f>
        <v>0</v>
      </c>
      <c r="AH274" s="1">
        <f>IFERROR(Table2[[#This Row],[Food_PIN]]*$V274,)</f>
        <v>0</v>
      </c>
      <c r="AI274" s="1">
        <f>IFERROR(Table2[[#This Row],[Protection_CP_PIN]]*$V274,)</f>
        <v>0</v>
      </c>
      <c r="AJ274" s="1">
        <f>IFERROR(Table2[[#This Row],[Protection_GBV_PIN]]*$V274,)</f>
        <v>0</v>
      </c>
      <c r="AK274" s="1">
        <f>IFERROR(Table2[[#This Row],[Protection_MA_PIN]]*$V274,)</f>
        <v>0</v>
      </c>
      <c r="AL274" s="1">
        <f>IFERROR(Table2[[#This Row],[Health_PIN]]*$W274,)</f>
        <v>0</v>
      </c>
      <c r="AM274" s="1">
        <f>IFERROR(Table2[[#This Row],[CCCM_PIN]]*$W274,)</f>
        <v>0</v>
      </c>
      <c r="AN274" s="1">
        <f>IFERROR(Table2[[#This Row],[ERL_PIN]]*$W274,)</f>
        <v>0</v>
      </c>
      <c r="AO274" s="1">
        <f>IFERROR(Table2[[#This Row],[NFI_PIN]]*$W274,)</f>
        <v>0</v>
      </c>
      <c r="AP274" s="1">
        <f>IFERROR(Table2[[#This Row],[Nutrition_PIN]]*$W274,)</f>
        <v>0</v>
      </c>
      <c r="AQ274" s="1">
        <f>IFERROR(Table2[[#This Row],[Education_PIN]]*$W274,)</f>
        <v>0</v>
      </c>
      <c r="AR274" s="1">
        <f>IFERROR(Table2[[#This Row],[Shelter_PIN]]*$W274,)</f>
        <v>0</v>
      </c>
      <c r="AS274" s="1">
        <f>IFERROR(Table2[[#This Row],[WASH_PIN]]*$W274,)</f>
        <v>0</v>
      </c>
      <c r="AT274" s="1">
        <f>IFERROR(Table2[[#This Row],[WASH_acute_PIN]]*$W274,)</f>
        <v>0</v>
      </c>
      <c r="AU274" s="1">
        <f>IFERROR(Table2[[#This Row],[Protection_PIN]]*$W274,)</f>
        <v>0</v>
      </c>
      <c r="AV274" s="1">
        <f>IFERROR(Table2[[#This Row],[Food_PIN]]*$W274,)</f>
        <v>0</v>
      </c>
      <c r="AW274" s="1">
        <f>IFERROR(Table2[[#This Row],[Protection_CP_PIN]]*$W274,)</f>
        <v>0</v>
      </c>
      <c r="AX274" s="1">
        <f>IFERROR(Table2[[#This Row],[Protection_GBV_PIN]]*$W274,)</f>
        <v>0</v>
      </c>
      <c r="AY274" s="1">
        <f>IFERROR(Table2[[#This Row],[Protection_MA_PIN]]*$W274,)</f>
        <v>0</v>
      </c>
      <c r="AZ274" s="1">
        <v>0</v>
      </c>
      <c r="BA274" s="1" t="s">
        <v>665</v>
      </c>
      <c r="BB274" s="1" t="s">
        <v>665</v>
      </c>
      <c r="BC274" s="1">
        <v>0</v>
      </c>
      <c r="BD274" s="1" t="s">
        <v>665</v>
      </c>
      <c r="BE274" s="1" t="s">
        <v>665</v>
      </c>
      <c r="BF274" s="1" t="s">
        <v>665</v>
      </c>
      <c r="BG274" s="1" t="s">
        <v>665</v>
      </c>
      <c r="BH274" s="1" t="s">
        <v>665</v>
      </c>
      <c r="BI274" s="1" t="s">
        <v>665</v>
      </c>
      <c r="BJ274" s="1" t="s">
        <v>665</v>
      </c>
      <c r="BK274" s="1" t="s">
        <v>665</v>
      </c>
      <c r="BL274" s="1" t="s">
        <v>665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CD63-0E40-4474-A67A-6CF9E2805217}">
  <dimension ref="A3:O23"/>
  <sheetViews>
    <sheetView topLeftCell="F1" zoomScale="115" zoomScaleNormal="115" workbookViewId="0">
      <selection activeCell="H10" sqref="H10"/>
    </sheetView>
  </sheetViews>
  <sheetFormatPr defaultRowHeight="14.5" x14ac:dyDescent="0.35"/>
  <cols>
    <col min="2" max="2" width="19.26953125" customWidth="1"/>
    <col min="3" max="3" width="25.54296875" customWidth="1"/>
    <col min="14" max="14" width="15.26953125" customWidth="1"/>
  </cols>
  <sheetData>
    <row r="3" spans="1:15" x14ac:dyDescent="0.35">
      <c r="A3" s="1"/>
      <c r="B3" s="20" t="s">
        <v>1131</v>
      </c>
      <c r="C3" s="1">
        <v>4045939.4355010372</v>
      </c>
      <c r="M3" s="24"/>
      <c r="N3" s="25" t="s">
        <v>1117</v>
      </c>
      <c r="O3">
        <v>90726.986591025081</v>
      </c>
    </row>
    <row r="4" spans="1:15" x14ac:dyDescent="0.35">
      <c r="A4" s="1"/>
      <c r="B4" s="20" t="s">
        <v>1133</v>
      </c>
      <c r="C4" s="1">
        <v>3779671</v>
      </c>
      <c r="M4" s="24"/>
      <c r="N4" s="25" t="s">
        <v>1110</v>
      </c>
      <c r="O4">
        <v>84101.392500000002</v>
      </c>
    </row>
    <row r="5" spans="1:15" x14ac:dyDescent="0.35">
      <c r="A5" s="1"/>
      <c r="B5" s="20" t="s">
        <v>1124</v>
      </c>
      <c r="C5" s="1">
        <v>3624409.3400000003</v>
      </c>
      <c r="M5" s="24"/>
      <c r="N5" s="25" t="s">
        <v>1120</v>
      </c>
      <c r="O5">
        <v>80063.227708212828</v>
      </c>
    </row>
    <row r="6" spans="1:15" x14ac:dyDescent="0.35">
      <c r="A6" s="1"/>
      <c r="B6" s="20" t="s">
        <v>1134</v>
      </c>
      <c r="C6" s="1">
        <v>3326330.6507328921</v>
      </c>
      <c r="M6" s="24"/>
      <c r="N6" s="25" t="s">
        <v>1119</v>
      </c>
      <c r="O6">
        <v>71157.89</v>
      </c>
    </row>
    <row r="7" spans="1:15" x14ac:dyDescent="0.35">
      <c r="A7" s="1"/>
      <c r="B7" s="20" t="s">
        <v>1126</v>
      </c>
      <c r="C7" s="1">
        <v>2451620.81</v>
      </c>
      <c r="M7" s="24"/>
      <c r="N7" s="25" t="s">
        <v>1112</v>
      </c>
      <c r="O7">
        <v>65389.729999999996</v>
      </c>
    </row>
    <row r="8" spans="1:15" x14ac:dyDescent="0.35">
      <c r="A8" s="1"/>
      <c r="B8" s="20" t="s">
        <v>1130</v>
      </c>
      <c r="C8" s="1">
        <v>1815690.7</v>
      </c>
      <c r="M8" s="24"/>
      <c r="N8" s="25" t="s">
        <v>1115</v>
      </c>
      <c r="O8">
        <v>41886.557330656055</v>
      </c>
    </row>
    <row r="9" spans="1:15" x14ac:dyDescent="0.35">
      <c r="A9" s="1"/>
      <c r="B9" s="20" t="s">
        <v>1125</v>
      </c>
      <c r="C9" s="1">
        <v>1733995.73</v>
      </c>
      <c r="M9" s="24"/>
      <c r="N9" s="25" t="s">
        <v>1114</v>
      </c>
      <c r="O9">
        <v>28707.603130124709</v>
      </c>
    </row>
    <row r="10" spans="1:15" x14ac:dyDescent="0.35">
      <c r="A10" s="1"/>
      <c r="B10" s="20" t="s">
        <v>1129</v>
      </c>
      <c r="C10" s="1">
        <v>1616335.286942991</v>
      </c>
      <c r="H10" s="3">
        <f>38.2/155.9</f>
        <v>0.24502886465683132</v>
      </c>
      <c r="M10" s="24"/>
      <c r="N10" s="25" t="s">
        <v>1116</v>
      </c>
      <c r="O10">
        <v>27894.559999999998</v>
      </c>
    </row>
    <row r="11" spans="1:15" x14ac:dyDescent="0.35">
      <c r="A11" s="1"/>
      <c r="B11" s="20" t="s">
        <v>1128</v>
      </c>
      <c r="C11" s="1">
        <v>1370354.603391428</v>
      </c>
      <c r="M11" s="24"/>
      <c r="N11" s="25" t="s">
        <v>1113</v>
      </c>
      <c r="O11">
        <v>13647.25</v>
      </c>
    </row>
    <row r="12" spans="1:15" x14ac:dyDescent="0.35">
      <c r="A12" s="1"/>
      <c r="B12" s="20" t="s">
        <v>1127</v>
      </c>
      <c r="C12" s="1">
        <v>1279785.57</v>
      </c>
      <c r="M12" s="24"/>
      <c r="N12" s="25" t="s">
        <v>1111</v>
      </c>
      <c r="O12">
        <v>68.5</v>
      </c>
    </row>
    <row r="13" spans="1:15" x14ac:dyDescent="0.35">
      <c r="A13" s="1"/>
      <c r="M13" s="24"/>
    </row>
    <row r="14" spans="1:15" x14ac:dyDescent="0.35">
      <c r="A14" s="1"/>
      <c r="M14" s="24"/>
    </row>
    <row r="15" spans="1:15" x14ac:dyDescent="0.35">
      <c r="A15" s="1"/>
      <c r="M15" s="24"/>
    </row>
    <row r="16" spans="1:15" x14ac:dyDescent="0.35">
      <c r="A16" s="1"/>
      <c r="M16" s="24"/>
    </row>
    <row r="19" spans="2:15" x14ac:dyDescent="0.35">
      <c r="B19" s="20" t="s">
        <v>1137</v>
      </c>
      <c r="C19" s="1">
        <v>2993743.8300000005</v>
      </c>
    </row>
    <row r="20" spans="2:15" x14ac:dyDescent="0.35">
      <c r="B20" s="20" t="s">
        <v>1132</v>
      </c>
      <c r="C20" s="1">
        <v>2345679.29</v>
      </c>
      <c r="N20" s="25" t="s">
        <v>1123</v>
      </c>
      <c r="O20">
        <v>62285.91</v>
      </c>
    </row>
    <row r="21" spans="2:15" x14ac:dyDescent="0.35">
      <c r="B21" s="20" t="s">
        <v>1136</v>
      </c>
      <c r="C21" s="1">
        <v>1917457.8</v>
      </c>
      <c r="N21" s="25" t="s">
        <v>1118</v>
      </c>
      <c r="O21">
        <v>51670.080000000002</v>
      </c>
    </row>
    <row r="22" spans="2:15" x14ac:dyDescent="0.35">
      <c r="B22" s="20" t="s">
        <v>1135</v>
      </c>
      <c r="C22" s="1">
        <v>1676594.8090000001</v>
      </c>
      <c r="N22" s="25" t="s">
        <v>1122</v>
      </c>
      <c r="O22">
        <v>38835.51</v>
      </c>
    </row>
    <row r="23" spans="2:15" x14ac:dyDescent="0.35">
      <c r="N23" s="25" t="s">
        <v>1121</v>
      </c>
      <c r="O23">
        <v>34342.536</v>
      </c>
    </row>
  </sheetData>
  <sortState xmlns:xlrd2="http://schemas.microsoft.com/office/spreadsheetml/2017/richdata2" ref="N3:O16">
    <sortCondition descending="1" ref="O3:O1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068A191A700141B22C8D1D6A6A8648" ma:contentTypeVersion="15" ma:contentTypeDescription="Create a new document." ma:contentTypeScope="" ma:versionID="73afceb0880093f41942dae7bf4c21a7">
  <xsd:schema xmlns:xsd="http://www.w3.org/2001/XMLSchema" xmlns:xs="http://www.w3.org/2001/XMLSchema" xmlns:p="http://schemas.microsoft.com/office/2006/metadata/properties" xmlns:ns2="fc1776a2-0d11-41a7-a98c-4fbb243b2687" xmlns:ns3="b389d514-e2cc-4481-ba3e-61a794127bff" xmlns:ns4="985ec44e-1bab-4c0b-9df0-6ba128686fc9" targetNamespace="http://schemas.microsoft.com/office/2006/metadata/properties" ma:root="true" ma:fieldsID="dfaabc5ac6775d3cbf2ac425a3194bf9" ns2:_="" ns3:_="" ns4:_="">
    <xsd:import namespace="fc1776a2-0d11-41a7-a98c-4fbb243b2687"/>
    <xsd:import namespace="b389d514-e2cc-4481-ba3e-61a794127bff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776a2-0d11-41a7-a98c-4fbb243b26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89d514-e2cc-4481-ba3e-61a794127bf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8b8d639-015c-4a71-85bd-7fb824961b15}" ma:internalName="TaxCatchAll" ma:showField="CatchAllData" ma:web="b389d514-e2cc-4481-ba3e-61a794127b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EBA7C8-4949-4193-B2DE-1160F8A3E8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1776a2-0d11-41a7-a98c-4fbb243b2687"/>
    <ds:schemaRef ds:uri="b389d514-e2cc-4481-ba3e-61a794127bff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BAEFC0-E20E-4C1A-93FB-952FFDCCBE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Inter-sector dataset</vt:lpstr>
      <vt:lpstr>Sheet1</vt:lpstr>
      <vt:lpstr>Sector dataset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Sinan Sinnokrot</dc:creator>
  <cp:lastModifiedBy>seanywng</cp:lastModifiedBy>
  <dcterms:created xsi:type="dcterms:W3CDTF">2015-06-05T18:17:20Z</dcterms:created>
  <dcterms:modified xsi:type="dcterms:W3CDTF">2023-03-15T14:03:31Z</dcterms:modified>
</cp:coreProperties>
</file>