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 SIZE ESTIMATION (Y)" sheetId="1" r:id="rId4"/>
    <sheet state="visible" name="P&amp;L (YEAR 1)" sheetId="2" r:id="rId5"/>
    <sheet state="visible" name="UNIT ECONOMICS (per ride) (Y)" sheetId="3" r:id="rId6"/>
    <sheet state="visible" name="SUBSCRIPTION MODEL (Y)" sheetId="4" r:id="rId7"/>
    <sheet state="visible" name="Demand &amp; Seasonality (M)" sheetId="5" r:id="rId8"/>
    <sheet state="visible" name="Subscription KPIs &amp; Unit Econom" sheetId="6" r:id="rId9"/>
    <sheet state="visible" name="Key KPIs &amp; Visualization" sheetId="7" r:id="rId10"/>
  </sheets>
  <definedNames/>
  <calcPr/>
</workbook>
</file>

<file path=xl/sharedStrings.xml><?xml version="1.0" encoding="utf-8"?>
<sst xmlns="http://schemas.openxmlformats.org/spreadsheetml/2006/main" count="215" uniqueCount="143">
  <si>
    <t>BOLT - Market Size Estimation</t>
  </si>
  <si>
    <t>Top-Down Method</t>
  </si>
  <si>
    <t>Bottom-Up Method</t>
  </si>
  <si>
    <t>Tourist Inclusion:</t>
  </si>
  <si>
    <t>Metric</t>
  </si>
  <si>
    <t>Value</t>
  </si>
  <si>
    <t>Calculation</t>
  </si>
  <si>
    <t>Barcelona Popülasyonu</t>
  </si>
  <si>
    <t>in 2022</t>
  </si>
  <si>
    <t>Fleet Size (Scooter)</t>
  </si>
  <si>
    <t>Conservative estimate</t>
  </si>
  <si>
    <t>Annual Tourists</t>
  </si>
  <si>
    <t>Target Population (%)</t>
  </si>
  <si>
    <t>Ages 16–55</t>
  </si>
  <si>
    <t>Avg Daily Rides per Scooter</t>
  </si>
  <si>
    <t>Scooter Adoption Rate (%)</t>
  </si>
  <si>
    <t>Potential Users</t>
  </si>
  <si>
    <t>Population * %Target Population</t>
  </si>
  <si>
    <t>Total Daily Rides</t>
  </si>
  <si>
    <t>Fleet × Daily rides</t>
  </si>
  <si>
    <t>Scooter Using Tourists</t>
  </si>
  <si>
    <t>450,000 tourists using scooters</t>
  </si>
  <si>
    <t>Penetration Rate (%)</t>
  </si>
  <si>
    <t>Annual Local Rides (Bottom-up)</t>
  </si>
  <si>
    <t>Daily Rides × 360 days</t>
  </si>
  <si>
    <t>Avg Stay (days)</t>
  </si>
  <si>
    <t>Total Potential Users</t>
  </si>
  <si>
    <t>Population × Penetration</t>
  </si>
  <si>
    <t>Daily Scooter Rides per Tourist</t>
  </si>
  <si>
    <t>Avg Monthly Ride Frequency</t>
  </si>
  <si>
    <t>Assumed</t>
  </si>
  <si>
    <t>Total Tourist Annual Rides</t>
  </si>
  <si>
    <t>Tourists × Avg Stay (days) × Daily scooter rides per Tourists</t>
  </si>
  <si>
    <t>Total Monthly Rides</t>
  </si>
  <si>
    <t>Potansiyel Kullanıcılar × sıklık</t>
  </si>
  <si>
    <t>Annual Total Rides (Top-down)</t>
  </si>
  <si>
    <t>Monthly Rides × 12</t>
  </si>
  <si>
    <t xml:space="preserve">2022 Projected Market
</t>
  </si>
  <si>
    <t>Total Realistic Annual Rides (Local + Tourist):</t>
  </si>
  <si>
    <t>BOLT - P&amp;L</t>
  </si>
  <si>
    <t>Total Revenue</t>
  </si>
  <si>
    <t>Subscription Revenue</t>
  </si>
  <si>
    <t xml:space="preserve">Pay-per-Ride Revenue </t>
  </si>
  <si>
    <t>Costs:</t>
  </si>
  <si>
    <t>Item</t>
  </si>
  <si>
    <t>Depreciation</t>
  </si>
  <si>
    <t>Maintenance</t>
  </si>
  <si>
    <t>Charging</t>
  </si>
  <si>
    <t>Payment Processing</t>
  </si>
  <si>
    <t>Staff (20 FTEs)</t>
  </si>
  <si>
    <t>Office &amp; Operations</t>
  </si>
  <si>
    <t>Marketing</t>
  </si>
  <si>
    <t>Insurance</t>
  </si>
  <si>
    <t>TOTAL</t>
  </si>
  <si>
    <t>EBITDA:</t>
  </si>
  <si>
    <t>Margin</t>
  </si>
  <si>
    <t>Total Revenue - Total Costs</t>
  </si>
  <si>
    <t>BOLT - Unit Economics Analysis</t>
  </si>
  <si>
    <t>Formula</t>
  </si>
  <si>
    <t>Revenue per Ride (€)</t>
  </si>
  <si>
    <t>(Subscription Revenue+Pay-per-Ride Revenue ​) / Total Ride</t>
  </si>
  <si>
    <t>Cost per Ride Components:</t>
  </si>
  <si>
    <t>Maintenance per ride (€)</t>
  </si>
  <si>
    <t>Charging per ride (€)</t>
  </si>
  <si>
    <t>Charging cost ÷ Annual rides</t>
  </si>
  <si>
    <t>Depreciation per ride (€)</t>
  </si>
  <si>
    <t>Annual depreciation ÷ Annual rides</t>
  </si>
  <si>
    <t>Payment per ride (€)</t>
  </si>
  <si>
    <t>%2 × Revenue/ride</t>
  </si>
  <si>
    <t>Staff</t>
  </si>
  <si>
    <t>Total Cost per Ride</t>
  </si>
  <si>
    <t>Contribution Margin</t>
  </si>
  <si>
    <t>Revenue per Ride - Total Cost Per Ride</t>
  </si>
  <si>
    <t>Customer Acquisition &amp; Lifetime Value</t>
  </si>
  <si>
    <t>Customer Acquisition Cost (CAC)</t>
  </si>
  <si>
    <t>Customer Lifetime (Months)</t>
  </si>
  <si>
    <t>Monthly Average Rides per Customer</t>
  </si>
  <si>
    <t>Total Lifetime Rides per Customer</t>
  </si>
  <si>
    <t>Average Revenue per Ride</t>
  </si>
  <si>
    <t>Contribution Margin (%)</t>
  </si>
  <si>
    <t>Customer Lifetime Value (LTV)</t>
  </si>
  <si>
    <t>CLV - CAC</t>
  </si>
  <si>
    <t>LTV/CAC Ratio</t>
  </si>
  <si>
    <t>Insurance (€)</t>
  </si>
  <si>
    <t>Scooter/year</t>
  </si>
  <si>
    <t>BOLT - Subscription Model</t>
  </si>
  <si>
    <t>Subscription Rate</t>
  </si>
  <si>
    <t>Subscription Rides</t>
  </si>
  <si>
    <t>AVG Subscription Revenue per Ride</t>
  </si>
  <si>
    <t>Total Subscription Revenue</t>
  </si>
  <si>
    <t>Subscription Ride × Subscription Revenue per Ride</t>
  </si>
  <si>
    <t>BOLT - Demand &amp; Seasonality (M)</t>
  </si>
  <si>
    <t>Month</t>
  </si>
  <si>
    <t>Seasonality Coefficient (%)</t>
  </si>
  <si>
    <t>Monthly Rides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</si>
  <si>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</si>
  <si>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</si>
  <si>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</si>
  <si>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</si>
  <si>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</si>
  <si>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</si>
  <si>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</si>
  <si>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</si>
  <si>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</si>
  <si>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</si>
  <si>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</si>
  <si>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</si>
  <si>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Annual Rides:</t>
  </si>
  <si>
    <t>Total Rides</t>
  </si>
  <si>
    <t>Pay-per-Ride Rides</t>
  </si>
  <si>
    <t>Subscription Revenue (â‚¬)</t>
  </si>
  <si>
    <t>Pay-per-Ride Revenue (â‚¬)</t>
  </si>
  <si>
    <t>Total Revenue (â‚¬)</t>
  </si>
  <si>
    <t>Total Costs (â‚¬)</t>
  </si>
  <si>
    <t>EBITDA (â‚¬)</t>
  </si>
  <si>
    <t>Monthly User</t>
  </si>
  <si>
    <t>Monthly Subs User</t>
  </si>
  <si>
    <t>Monthly Pay-per-ride User</t>
  </si>
  <si>
    <t>Avg Subscription Revenue per User</t>
  </si>
  <si>
    <t>Subscription Revenue %</t>
  </si>
  <si>
    <t>Revenue per ride (€)</t>
  </si>
  <si>
    <t>Variable cost per ride (€/ride)</t>
  </si>
  <si>
    <t>Contribution margin per ride</t>
  </si>
  <si>
    <t>EBITDA</t>
  </si>
  <si>
    <t>KPI</t>
  </si>
  <si>
    <t>(Subscription Revenue) / Subscription Rides</t>
  </si>
  <si>
    <t>Revenue per Ride</t>
  </si>
  <si>
    <t>Total Revenue / Total Rides</t>
  </si>
  <si>
    <t>Subscription Usage Rate (%)</t>
  </si>
  <si>
    <t>Subscription Rides / Total Rides</t>
  </si>
  <si>
    <t>Variable Cost per Ride</t>
  </si>
  <si>
    <t>(Depreciation + Maintenance + Charging + Payment Processing) / Total Rides</t>
  </si>
  <si>
    <t>Subscription Revenue (%)</t>
  </si>
  <si>
    <t>Subscription Revenue / Total Revenue</t>
  </si>
  <si>
    <t>Contribution Margin (€)</t>
  </si>
  <si>
    <t>(Revenue per Ride - Variable Cost per Ride)</t>
  </si>
  <si>
    <t>Contribution Margin / Revenue per Ride</t>
  </si>
  <si>
    <t>BOLT - Key KPIs &amp; Visualization</t>
  </si>
  <si>
    <t>Pay-per-Ride Revenue</t>
  </si>
  <si>
    <t>EBITDA Monthly Trend</t>
  </si>
  <si>
    <t xml:space="preserve">Revenue per Ride vs Variable Cost per Ride </t>
  </si>
  <si>
    <t>Monthly Users</t>
  </si>
  <si>
    <t>Aylık Rides (Total vs Subscription)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</si>
</sst>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,\k"/>
    <numFmt numFmtId="165" formatCode="[$€]#,##0"/>
    <numFmt numFmtId="166" formatCode="[$€]#,##0.00"/>
    <numFmt numFmtId="167" formatCode="0.000"/>
    <numFmt numFmtId="168" formatCode="#,##0.00&quot;€&quot;"/>
    <numFmt numFmtId="169" formatCode="0.#0,,&quot;m&quot;"/>
  </numFmts>
  <fonts count="26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26.0"/>
      <color theme="1"/>
      <name val="Calibri"/>
    </font>
    <font>
      <b/>
      <sz val="13.0"/>
      <color rgb="FF000000"/>
      <name val="Arial"/>
    </font>
    <font>
      <b/>
      <sz val="13.0"/>
      <color theme="1"/>
      <name val="Arial"/>
      <scheme val="minor"/>
    </font>
    <font>
      <b/>
      <sz val="11.0"/>
      <color rgb="FF274E13"/>
      <name val="Arial"/>
    </font>
    <font>
      <color rgb="FF274E13"/>
      <name val="Arial"/>
      <scheme val="minor"/>
    </font>
    <font>
      <sz val="11.0"/>
      <color rgb="FF000000"/>
      <name val="Arial"/>
    </font>
    <font>
      <b/>
      <sz val="11.0"/>
      <color rgb="FF000000"/>
      <name val="Arial"/>
    </font>
    <font>
      <b/>
      <sz val="12.0"/>
      <color rgb="FF000000"/>
      <name val="Arial"/>
    </font>
    <font>
      <b/>
      <sz val="11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FkGroteskNeue"/>
    </font>
    <font>
      <b/>
      <sz val="16.0"/>
      <color rgb="FF000000"/>
      <name val="Arial"/>
    </font>
    <font>
      <b/>
      <sz val="12.0"/>
      <color rgb="FF274E13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&quot;Aptos Narrow&quot;"/>
    </font>
    <font>
      <i/>
      <sz val="11.0"/>
      <color theme="1"/>
      <name val="Calibri"/>
    </font>
    <font>
      <b/>
      <sz val="16.0"/>
      <color theme="1"/>
      <name val="Calibri"/>
    </font>
    <font>
      <b/>
      <sz val="9.0"/>
      <color rgb="FF7F7F7F"/>
      <name val="Calibri"/>
    </font>
    <font>
      <b/>
      <sz val="14.0"/>
      <color theme="1"/>
      <name val="Calibri"/>
    </font>
    <font>
      <b/>
      <sz val="14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2A9C64"/>
        <bgColor rgb="FF2A9C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7F9DD"/>
        <bgColor rgb="FFC7F9DD"/>
      </patternFill>
    </fill>
    <fill>
      <patternFill patternType="solid">
        <fgColor rgb="FFC3F0D6"/>
        <bgColor rgb="FFC3F0D6"/>
      </patternFill>
    </fill>
    <fill>
      <patternFill patternType="solid">
        <fgColor rgb="FFFFF2CC"/>
        <bgColor rgb="FFFFF2CC"/>
      </patternFill>
    </fill>
    <fill>
      <patternFill patternType="solid">
        <fgColor rgb="FFF9CB9C"/>
        <bgColor rgb="FFF9CB9C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 vertical="top"/>
    </xf>
    <xf borderId="0" fillId="0" fontId="5" numFmtId="0" xfId="0" applyFont="1"/>
    <xf borderId="0" fillId="3" fontId="4" numFmtId="9" xfId="0" applyAlignment="1" applyFill="1" applyFont="1" applyNumberFormat="1">
      <alignment horizontal="left" readingOrder="0" vertical="top"/>
    </xf>
    <xf borderId="0" fillId="3" fontId="4" numFmtId="0" xfId="0" applyAlignment="1" applyFont="1">
      <alignment horizontal="left" readingOrder="0" vertical="top"/>
    </xf>
    <xf borderId="0" fillId="4" fontId="4" numFmtId="9" xfId="0" applyAlignment="1" applyFill="1" applyFont="1" applyNumberFormat="1">
      <alignment horizontal="left" readingOrder="0" vertical="top"/>
    </xf>
    <xf borderId="0" fillId="4" fontId="4" numFmtId="0" xfId="0" applyAlignment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0" fillId="3" fontId="7" numFmtId="0" xfId="0" applyFont="1"/>
    <xf borderId="1" fillId="3" fontId="6" numFmtId="9" xfId="0" applyAlignment="1" applyBorder="1" applyFont="1" applyNumberFormat="1">
      <alignment horizontal="left" readingOrder="0" vertical="top"/>
    </xf>
    <xf borderId="1" fillId="5" fontId="8" numFmtId="0" xfId="0" applyAlignment="1" applyBorder="1" applyFill="1" applyFont="1">
      <alignment horizontal="left" readingOrder="0" vertical="top"/>
    </xf>
    <xf borderId="1" fillId="5" fontId="8" numFmtId="9" xfId="0" applyAlignment="1" applyBorder="1" applyFont="1" applyNumberFormat="1">
      <alignment horizontal="left" readingOrder="0" vertical="top"/>
    </xf>
    <xf borderId="1" fillId="5" fontId="8" numFmtId="3" xfId="0" applyAlignment="1" applyBorder="1" applyFont="1" applyNumberFormat="1">
      <alignment horizontal="left" readingOrder="0" vertical="top"/>
    </xf>
    <xf borderId="1" fillId="0" fontId="8" numFmtId="0" xfId="0" applyAlignment="1" applyBorder="1" applyFont="1">
      <alignment horizontal="left" readingOrder="0" vertical="top"/>
    </xf>
    <xf borderId="1" fillId="0" fontId="8" numFmtId="9" xfId="0" applyAlignment="1" applyBorder="1" applyFont="1" applyNumberFormat="1">
      <alignment horizontal="left" readingOrder="0" vertical="top"/>
    </xf>
    <xf borderId="1" fillId="0" fontId="9" numFmtId="0" xfId="0" applyAlignment="1" applyBorder="1" applyFont="1">
      <alignment horizontal="left" readingOrder="0" vertical="top"/>
    </xf>
    <xf borderId="1" fillId="2" fontId="10" numFmtId="0" xfId="0" applyAlignment="1" applyBorder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1" fillId="6" fontId="8" numFmtId="0" xfId="0" applyAlignment="1" applyBorder="1" applyFill="1" applyFont="1">
      <alignment horizontal="left" readingOrder="0" vertical="top"/>
    </xf>
    <xf borderId="1" fillId="0" fontId="11" numFmtId="0" xfId="0" applyAlignment="1" applyBorder="1" applyFont="1">
      <alignment readingOrder="0"/>
    </xf>
    <xf borderId="1" fillId="2" fontId="12" numFmtId="3" xfId="0" applyAlignment="1" applyBorder="1" applyFont="1" applyNumberFormat="1">
      <alignment readingOrder="0"/>
    </xf>
    <xf borderId="1" fillId="0" fontId="13" numFmtId="0" xfId="0" applyAlignment="1" applyBorder="1" applyFont="1">
      <alignment readingOrder="0"/>
    </xf>
    <xf borderId="1" fillId="0" fontId="14" numFmtId="0" xfId="0" applyAlignment="1" applyBorder="1" applyFont="1">
      <alignment readingOrder="0"/>
    </xf>
    <xf borderId="0" fillId="0" fontId="14" numFmtId="0" xfId="0" applyAlignment="1" applyFont="1">
      <alignment readingOrder="0"/>
    </xf>
    <xf borderId="0" fillId="2" fontId="12" numFmtId="165" xfId="0" applyAlignment="1" applyFont="1" applyNumberFormat="1">
      <alignment readingOrder="0"/>
    </xf>
    <xf borderId="0" fillId="4" fontId="13" numFmtId="0" xfId="0" applyFont="1"/>
    <xf borderId="0" fillId="4" fontId="8" numFmtId="0" xfId="0" applyAlignment="1" applyFont="1">
      <alignment horizontal="left" readingOrder="0" vertical="top"/>
    </xf>
    <xf borderId="0" fillId="4" fontId="8" numFmtId="9" xfId="0" applyAlignment="1" applyFont="1" applyNumberFormat="1">
      <alignment horizontal="left" readingOrder="0" vertical="top"/>
    </xf>
    <xf borderId="0" fillId="4" fontId="8" numFmtId="3" xfId="0" applyAlignment="1" applyFont="1" applyNumberFormat="1">
      <alignment horizontal="left" readingOrder="0" vertical="top"/>
    </xf>
    <xf borderId="0" fillId="2" fontId="15" numFmtId="0" xfId="0" applyAlignment="1" applyFont="1">
      <alignment horizontal="left" readingOrder="0" vertical="top"/>
    </xf>
    <xf borderId="1" fillId="3" fontId="16" numFmtId="165" xfId="0" applyAlignment="1" applyBorder="1" applyFont="1" applyNumberFormat="1">
      <alignment horizontal="left" readingOrder="0" vertical="top"/>
    </xf>
    <xf borderId="0" fillId="3" fontId="8" numFmtId="9" xfId="0" applyAlignment="1" applyFont="1" applyNumberFormat="1">
      <alignment horizontal="left" readingOrder="0" vertical="top"/>
    </xf>
    <xf borderId="0" fillId="3" fontId="5" numFmtId="0" xfId="0" applyFont="1"/>
    <xf borderId="0" fillId="3" fontId="13" numFmtId="0" xfId="0" applyFont="1"/>
    <xf borderId="0" fillId="3" fontId="6" numFmtId="0" xfId="0" applyAlignment="1" applyFont="1">
      <alignment horizontal="left" readingOrder="0" vertical="top"/>
    </xf>
    <xf borderId="1" fillId="0" fontId="17" numFmtId="0" xfId="0" applyAlignment="1" applyBorder="1" applyFont="1">
      <alignment horizontal="left" readingOrder="0" vertical="top"/>
    </xf>
    <xf borderId="1" fillId="3" fontId="16" numFmtId="165" xfId="0" applyAlignment="1" applyBorder="1" applyFont="1" applyNumberFormat="1">
      <alignment horizontal="center" readingOrder="0" vertical="top"/>
    </xf>
    <xf borderId="1" fillId="5" fontId="17" numFmtId="0" xfId="0" applyAlignment="1" applyBorder="1" applyFont="1">
      <alignment horizontal="left" readingOrder="0" vertical="top"/>
    </xf>
    <xf borderId="1" fillId="5" fontId="17" numFmtId="165" xfId="0" applyAlignment="1" applyBorder="1" applyFont="1" applyNumberFormat="1">
      <alignment horizontal="center" readingOrder="0" vertical="top"/>
    </xf>
    <xf borderId="1" fillId="0" fontId="17" numFmtId="165" xfId="0" applyAlignment="1" applyBorder="1" applyFont="1" applyNumberFormat="1">
      <alignment horizontal="center" readingOrder="0" vertical="top"/>
    </xf>
    <xf borderId="0" fillId="3" fontId="12" numFmtId="0" xfId="0" applyAlignment="1" applyFont="1">
      <alignment horizontal="center" readingOrder="0"/>
    </xf>
    <xf borderId="0" fillId="3" fontId="12" numFmtId="165" xfId="0" applyAlignment="1" applyFont="1" applyNumberFormat="1">
      <alignment horizontal="center"/>
    </xf>
    <xf borderId="1" fillId="3" fontId="16" numFmtId="10" xfId="0" applyAlignment="1" applyBorder="1" applyFont="1" applyNumberFormat="1">
      <alignment horizontal="left" readingOrder="0" vertical="top"/>
    </xf>
    <xf borderId="1" fillId="5" fontId="8" numFmtId="166" xfId="0" applyAlignment="1" applyBorder="1" applyFont="1" applyNumberFormat="1">
      <alignment horizontal="left" readingOrder="0" vertical="top"/>
    </xf>
    <xf borderId="0" fillId="0" fontId="13" numFmtId="165" xfId="0" applyFont="1" applyNumberFormat="1"/>
    <xf borderId="1" fillId="5" fontId="17" numFmtId="166" xfId="0" applyAlignment="1" applyBorder="1" applyFont="1" applyNumberFormat="1">
      <alignment horizontal="center" readingOrder="0" vertical="top"/>
    </xf>
    <xf borderId="1" fillId="0" fontId="17" numFmtId="166" xfId="0" applyAlignment="1" applyBorder="1" applyFont="1" applyNumberFormat="1">
      <alignment horizontal="center" readingOrder="0" vertical="top"/>
    </xf>
    <xf borderId="1" fillId="6" fontId="17" numFmtId="0" xfId="0" applyAlignment="1" applyBorder="1" applyFont="1">
      <alignment horizontal="left" readingOrder="0" vertical="top"/>
    </xf>
    <xf borderId="1" fillId="6" fontId="17" numFmtId="166" xfId="0" applyAlignment="1" applyBorder="1" applyFont="1" applyNumberFormat="1">
      <alignment horizontal="center" readingOrder="0" vertical="top"/>
    </xf>
    <xf borderId="1" fillId="3" fontId="17" numFmtId="0" xfId="0" applyAlignment="1" applyBorder="1" applyFont="1">
      <alignment horizontal="left" readingOrder="0" vertical="top"/>
    </xf>
    <xf borderId="1" fillId="3" fontId="17" numFmtId="166" xfId="0" applyAlignment="1" applyBorder="1" applyFont="1" applyNumberFormat="1">
      <alignment horizontal="center" readingOrder="0" vertical="top"/>
    </xf>
    <xf borderId="1" fillId="0" fontId="18" numFmtId="0" xfId="0" applyAlignment="1" applyBorder="1" applyFont="1">
      <alignment readingOrder="0"/>
    </xf>
    <xf borderId="0" fillId="3" fontId="12" numFmtId="166" xfId="0" applyAlignment="1" applyFont="1" applyNumberFormat="1">
      <alignment horizontal="center"/>
    </xf>
    <xf borderId="0" fillId="3" fontId="8" numFmtId="166" xfId="0" applyAlignment="1" applyFont="1" applyNumberFormat="1">
      <alignment horizontal="left" readingOrder="0" vertical="top"/>
    </xf>
    <xf borderId="0" fillId="0" fontId="13" numFmtId="0" xfId="0" applyAlignment="1" applyFont="1">
      <alignment readingOrder="0"/>
    </xf>
    <xf borderId="1" fillId="0" fontId="17" numFmtId="3" xfId="0" applyAlignment="1" applyBorder="1" applyFont="1" applyNumberFormat="1">
      <alignment horizontal="center" readingOrder="0" vertical="top"/>
    </xf>
    <xf borderId="1" fillId="5" fontId="17" numFmtId="3" xfId="0" applyAlignment="1" applyBorder="1" applyFont="1" applyNumberFormat="1">
      <alignment horizontal="center" readingOrder="0" vertical="top"/>
    </xf>
    <xf borderId="1" fillId="0" fontId="17" numFmtId="10" xfId="0" applyAlignment="1" applyBorder="1" applyFont="1" applyNumberFormat="1">
      <alignment horizontal="center" readingOrder="0" vertical="top"/>
    </xf>
    <xf borderId="1" fillId="5" fontId="17" numFmtId="4" xfId="0" applyAlignment="1" applyBorder="1" applyFont="1" applyNumberFormat="1">
      <alignment horizontal="center" readingOrder="0" vertical="top"/>
    </xf>
    <xf borderId="0" fillId="0" fontId="13" numFmtId="167" xfId="0" applyFont="1" applyNumberFormat="1"/>
    <xf borderId="0" fillId="0" fontId="13" numFmtId="168" xfId="0" applyAlignment="1" applyFont="1" applyNumberFormat="1">
      <alignment readingOrder="0"/>
    </xf>
    <xf borderId="0" fillId="3" fontId="6" numFmtId="9" xfId="0" applyAlignment="1" applyFont="1" applyNumberFormat="1">
      <alignment horizontal="left" readingOrder="0" vertical="top"/>
    </xf>
    <xf borderId="1" fillId="0" fontId="8" numFmtId="0" xfId="0" applyAlignment="1" applyBorder="1" applyFont="1">
      <alignment horizontal="center" readingOrder="0" vertical="top"/>
    </xf>
    <xf borderId="1" fillId="5" fontId="8" numFmtId="3" xfId="0" applyAlignment="1" applyBorder="1" applyFont="1" applyNumberFormat="1">
      <alignment horizontal="center" readingOrder="0" vertical="top"/>
    </xf>
    <xf borderId="1" fillId="2" fontId="10" numFmtId="165" xfId="0" applyAlignment="1" applyBorder="1" applyFont="1" applyNumberFormat="1">
      <alignment horizontal="center" readingOrder="0" vertical="top"/>
    </xf>
    <xf borderId="0" fillId="0" fontId="19" numFmtId="0" xfId="0" applyAlignment="1" applyFont="1">
      <alignment horizontal="center" readingOrder="0"/>
    </xf>
    <xf borderId="1" fillId="5" fontId="13" numFmtId="0" xfId="0" applyAlignment="1" applyBorder="1" applyFont="1">
      <alignment readingOrder="0"/>
    </xf>
    <xf borderId="1" fillId="5" fontId="13" numFmtId="9" xfId="0" applyAlignment="1" applyBorder="1" applyFont="1" applyNumberFormat="1">
      <alignment readingOrder="0"/>
    </xf>
    <xf borderId="1" fillId="5" fontId="13" numFmtId="0" xfId="0" applyBorder="1" applyFont="1"/>
    <xf borderId="1" fillId="0" fontId="13" numFmtId="9" xfId="0" applyAlignment="1" applyBorder="1" applyFont="1" applyNumberFormat="1">
      <alignment readingOrder="0"/>
    </xf>
    <xf borderId="1" fillId="0" fontId="13" numFmtId="0" xfId="0" applyBorder="1" applyFont="1"/>
    <xf borderId="0" fillId="3" fontId="12" numFmtId="3" xfId="0" applyAlignment="1" applyFont="1" applyNumberFormat="1">
      <alignment horizontal="center"/>
    </xf>
    <xf borderId="0" fillId="0" fontId="20" numFmtId="0" xfId="0" applyAlignment="1" applyFont="1">
      <alignment readingOrder="0" shrinkToFit="0" vertical="bottom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165" xfId="0" applyAlignment="1" applyFont="1" applyNumberFormat="1">
      <alignment horizontal="right" readingOrder="0" shrinkToFit="0" vertical="bottom" wrapText="0"/>
    </xf>
    <xf borderId="0" fillId="7" fontId="13" numFmtId="1" xfId="0" applyFill="1" applyFont="1" applyNumberFormat="1"/>
    <xf borderId="0" fillId="7" fontId="13" numFmtId="0" xfId="0" applyFont="1"/>
    <xf borderId="0" fillId="8" fontId="13" numFmtId="0" xfId="0" applyFill="1" applyFont="1"/>
    <xf borderId="0" fillId="8" fontId="13" numFmtId="167" xfId="0" applyFont="1" applyNumberFormat="1"/>
    <xf borderId="0" fillId="0" fontId="13" numFmtId="0" xfId="0" applyFont="1"/>
    <xf borderId="0" fillId="0" fontId="13" numFmtId="2" xfId="0" applyFont="1" applyNumberFormat="1"/>
    <xf borderId="0" fillId="4" fontId="13" numFmtId="0" xfId="0" applyAlignment="1" applyFont="1">
      <alignment readingOrder="0"/>
    </xf>
    <xf borderId="0" fillId="0" fontId="17" numFmtId="0" xfId="0" applyAlignment="1" applyFont="1">
      <alignment horizontal="left" readingOrder="0" vertical="top"/>
    </xf>
    <xf borderId="0" fillId="9" fontId="21" numFmtId="0" xfId="0" applyAlignment="1" applyFill="1" applyFont="1">
      <alignment vertical="bottom"/>
    </xf>
    <xf borderId="0" fillId="9" fontId="1" numFmtId="164" xfId="0" applyAlignment="1" applyFont="1" applyNumberFormat="1">
      <alignment vertical="bottom"/>
    </xf>
    <xf borderId="0" fillId="9" fontId="1" numFmtId="0" xfId="0" applyAlignment="1" applyFont="1">
      <alignment vertical="bottom"/>
    </xf>
    <xf borderId="0" fillId="3" fontId="22" numFmtId="0" xfId="0" applyAlignment="1" applyFont="1">
      <alignment readingOrder="0" vertical="bottom"/>
    </xf>
    <xf borderId="0" fillId="3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4" numFmtId="169" xfId="0" applyAlignment="1" applyFont="1" applyNumberFormat="1">
      <alignment vertical="bottom"/>
    </xf>
    <xf borderId="0" fillId="0" fontId="2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Subcription </c:v>
          </c:tx>
          <c:spPr>
            <a:solidFill>
              <a:srgbClr val="2A9C64"/>
            </a:solidFill>
            <a:ln cmpd="sng">
              <a:solidFill>
                <a:srgbClr val="000000"/>
              </a:solidFill>
            </a:ln>
          </c:spPr>
          <c:cat>
            <c:strRef>
              <c:f>'Subscription KPIs &amp; Unit Econom'!$A$3:$A$14</c:f>
            </c:strRef>
          </c:cat>
          <c:val>
            <c:numRef>
              <c:f>'Subscription KPIs &amp; Unit Econom'!$C$3:$C$14</c:f>
              <c:numCache/>
            </c:numRef>
          </c:val>
        </c:ser>
        <c:ser>
          <c:idx val="1"/>
          <c:order val="1"/>
          <c:tx>
            <c:v>Pay-per-Ride</c:v>
          </c:tx>
          <c:spPr>
            <a:solidFill>
              <a:srgbClr val="C7F9DD"/>
            </a:solidFill>
            <a:ln cmpd="sng">
              <a:solidFill>
                <a:srgbClr val="000000"/>
              </a:solidFill>
            </a:ln>
          </c:spPr>
          <c:cat>
            <c:strRef>
              <c:f>'Subscription KPIs &amp; Unit Econom'!$A$3:$A$14</c:f>
            </c:strRef>
          </c:cat>
          <c:val>
            <c:numRef>
              <c:f>'Subscription KPIs &amp; Unit Econom'!$D$3:$D$14</c:f>
              <c:numCache/>
            </c:numRef>
          </c:val>
        </c:ser>
        <c:ser>
          <c:idx val="2"/>
          <c:order val="2"/>
          <c:tx>
            <c:v>Total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'Subscription KPIs &amp; Unit Econom'!$A$3:$A$14</c:f>
            </c:strRef>
          </c:cat>
          <c:val>
            <c:numRef>
              <c:f>'Subscription KPIs &amp; Unit Econom'!$B$3:$B$14</c:f>
              <c:numCache/>
            </c:numRef>
          </c:val>
        </c:ser>
        <c:overlap val="100"/>
        <c:axId val="1794413024"/>
        <c:axId val="586850407"/>
      </c:barChart>
      <c:catAx>
        <c:axId val="1794413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6850407"/>
      </c:catAx>
      <c:valAx>
        <c:axId val="5868504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944130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2A9C64"/>
            </a:solidFill>
            <a:ln cmpd="sng">
              <a:solidFill>
                <a:srgbClr val="000000"/>
              </a:solidFill>
            </a:ln>
          </c:spPr>
          <c:dPt>
            <c:idx val="8"/>
          </c:dPt>
          <c:cat>
            <c:strRef>
              <c:f>'Subscription KPIs &amp; Unit Econom'!$A$3:$A$14</c:f>
            </c:strRef>
          </c:cat>
          <c:val>
            <c:numRef>
              <c:f>'Subscription KPIs &amp; Unit Econom'!$D$3:$D$14</c:f>
              <c:numCache/>
            </c:numRef>
          </c:val>
        </c:ser>
        <c:axId val="416157260"/>
        <c:axId val="1148862125"/>
      </c:barChart>
      <c:catAx>
        <c:axId val="4161572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8862125"/>
      </c:catAx>
      <c:valAx>
        <c:axId val="11488621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61572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rgbClr val="2A9C64"/>
            </a:solidFill>
            <a:ln cmpd="sng">
              <a:solidFill>
                <a:srgbClr val="000000"/>
              </a:solidFill>
            </a:ln>
          </c:spPr>
          <c:cat>
            <c:strRef>
              <c:f>'Subscription KPIs &amp; Unit Econom'!$A$3:$A$14</c:f>
            </c:strRef>
          </c:cat>
          <c:val>
            <c:numRef>
              <c:f>'Subscription KPIs &amp; Unit Econom'!$C$3:$C$14</c:f>
              <c:numCache/>
            </c:numRef>
          </c:val>
        </c:ser>
        <c:axId val="1098665505"/>
        <c:axId val="2034387414"/>
      </c:barChart>
      <c:catAx>
        <c:axId val="10986655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387414"/>
      </c:catAx>
      <c:valAx>
        <c:axId val="2034387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86655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Econom'!$E$3:$E$14</c:f>
              <c:numCache/>
            </c:numRef>
          </c:val>
          <c:smooth val="0"/>
        </c:ser>
        <c:axId val="1349006746"/>
        <c:axId val="898566285"/>
      </c:lineChart>
      <c:catAx>
        <c:axId val="13490067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566285"/>
      </c:catAx>
      <c:valAx>
        <c:axId val="8985662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006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Econom'!$F$3:$F$14</c:f>
              <c:numCache/>
            </c:numRef>
          </c:val>
          <c:smooth val="0"/>
        </c:ser>
        <c:axId val="1943241522"/>
        <c:axId val="1422068595"/>
      </c:lineChart>
      <c:catAx>
        <c:axId val="19432415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2068595"/>
      </c:catAx>
      <c:valAx>
        <c:axId val="14220685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32415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Econom'!$G$3:$G$14</c:f>
              <c:numCache/>
            </c:numRef>
          </c:val>
          <c:smooth val="0"/>
        </c:ser>
        <c:axId val="1172553085"/>
        <c:axId val="1520717258"/>
      </c:lineChart>
      <c:catAx>
        <c:axId val="11725530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0717258"/>
      </c:catAx>
      <c:valAx>
        <c:axId val="15207172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25530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Econom'!$AA$3:$AA$14</c:f>
              <c:numCache/>
            </c:numRef>
          </c:val>
          <c:smooth val="0"/>
        </c:ser>
        <c:axId val="62452332"/>
        <c:axId val="1287118840"/>
      </c:lineChart>
      <c:catAx>
        <c:axId val="624523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7118840"/>
      </c:catAx>
      <c:valAx>
        <c:axId val="12871188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24523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Econom'!$W$3:$W$14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Econom'!$X$3:$X$14</c:f>
              <c:numCache/>
            </c:numRef>
          </c:val>
          <c:smooth val="0"/>
        </c:ser>
        <c:axId val="1735203608"/>
        <c:axId val="538209927"/>
      </c:lineChart>
      <c:catAx>
        <c:axId val="1735203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8209927"/>
      </c:catAx>
      <c:valAx>
        <c:axId val="5382099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52036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'Subscription KPIs &amp; Unit Econom'!$A$3:$A$14</c:f>
            </c:strRef>
          </c:cat>
          <c:val>
            <c:numRef>
              <c:f>'Subscription KPIs &amp; Unit Econom'!$E$3:$E$14</c:f>
              <c:numCache/>
            </c:numRef>
          </c:val>
          <c:smooth val="0"/>
        </c:ser>
        <c:axId val="1783634440"/>
        <c:axId val="2104428189"/>
      </c:lineChart>
      <c:catAx>
        <c:axId val="1783634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428189"/>
      </c:catAx>
      <c:valAx>
        <c:axId val="2104428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3634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0" Type="http://schemas.openxmlformats.org/officeDocument/2006/relationships/image" Target="../media/image1.png"/><Relationship Id="rId9" Type="http://schemas.openxmlformats.org/officeDocument/2006/relationships/chart" Target="../charts/chart9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19050</xdr:rowOff>
    </xdr:from>
    <xdr:ext cx="5334000" cy="33051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714375</xdr:colOff>
      <xdr:row>11</xdr:row>
      <xdr:rowOff>19050</xdr:rowOff>
    </xdr:from>
    <xdr:ext cx="5334000" cy="33051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13</xdr:col>
      <xdr:colOff>381000</xdr:colOff>
      <xdr:row>11</xdr:row>
      <xdr:rowOff>19050</xdr:rowOff>
    </xdr:from>
    <xdr:ext cx="5334000" cy="33051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13</xdr:col>
      <xdr:colOff>381000</xdr:colOff>
      <xdr:row>37</xdr:row>
      <xdr:rowOff>19050</xdr:rowOff>
    </xdr:from>
    <xdr:ext cx="5334000" cy="33051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6</xdr:col>
      <xdr:colOff>714375</xdr:colOff>
      <xdr:row>37</xdr:row>
      <xdr:rowOff>19050</xdr:rowOff>
    </xdr:from>
    <xdr:ext cx="5334000" cy="33051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37</xdr:row>
      <xdr:rowOff>19050</xdr:rowOff>
    </xdr:from>
    <xdr:ext cx="5334000" cy="33051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65</xdr:row>
      <xdr:rowOff>19050</xdr:rowOff>
    </xdr:from>
    <xdr:ext cx="5334000" cy="3305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</xdr:col>
      <xdr:colOff>723900</xdr:colOff>
      <xdr:row>65</xdr:row>
      <xdr:rowOff>19050</xdr:rowOff>
    </xdr:from>
    <xdr:ext cx="5334000" cy="33051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13</xdr:col>
      <xdr:colOff>390525</xdr:colOff>
      <xdr:row>65</xdr:row>
      <xdr:rowOff>19050</xdr:rowOff>
    </xdr:from>
    <xdr:ext cx="5334000" cy="33051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0</xdr:col>
      <xdr:colOff>0</xdr:colOff>
      <xdr:row>0</xdr:row>
      <xdr:rowOff>0</xdr:rowOff>
    </xdr:from>
    <xdr:ext cx="2857500" cy="1114425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2.38"/>
    <col customWidth="1" min="2" max="2" width="12.63"/>
    <col customWidth="1" min="3" max="3" width="27.25"/>
    <col customWidth="1" min="4" max="4" width="4.88"/>
    <col customWidth="1" min="5" max="5" width="29.0"/>
    <col customWidth="1" min="6" max="6" width="40.75"/>
    <col customWidth="1" min="7" max="7" width="23.88"/>
    <col customWidth="1" min="8" max="8" width="4.13"/>
    <col customWidth="1" min="9" max="9" width="27.25"/>
    <col customWidth="1" min="10" max="10" width="9.88"/>
    <col customWidth="1" min="11" max="11" width="45.0"/>
    <col customWidth="1" min="14" max="14" width="29.13"/>
  </cols>
  <sheetData>
    <row r="1">
      <c r="A1" s="1"/>
      <c r="B1" s="2"/>
      <c r="C1" s="1"/>
      <c r="D1" s="1"/>
      <c r="E1" s="2"/>
      <c r="F1" s="2"/>
      <c r="G1" s="2"/>
      <c r="H1" s="1"/>
    </row>
    <row r="2">
      <c r="A2" s="1"/>
      <c r="B2" s="2"/>
      <c r="C2" s="1"/>
      <c r="D2" s="1"/>
      <c r="E2" s="2"/>
      <c r="F2" s="2"/>
      <c r="G2" s="2"/>
      <c r="H2" s="1"/>
    </row>
    <row r="3">
      <c r="A3" s="3"/>
      <c r="B3" s="2"/>
      <c r="C3" s="1"/>
      <c r="D3" s="1"/>
      <c r="E3" s="2"/>
      <c r="F3" s="2"/>
      <c r="G3" s="2"/>
      <c r="H3" s="1"/>
    </row>
    <row r="4">
      <c r="A4" s="4"/>
      <c r="B4" s="2"/>
      <c r="C4" s="1"/>
      <c r="D4" s="1"/>
      <c r="E4" s="2"/>
      <c r="F4" s="2"/>
      <c r="G4" s="2"/>
      <c r="H4" s="1"/>
    </row>
    <row r="5">
      <c r="A5" s="4"/>
      <c r="B5" s="2"/>
      <c r="C5" s="1"/>
      <c r="D5" s="1"/>
      <c r="E5" s="2"/>
      <c r="F5" s="2"/>
      <c r="G5" s="2"/>
      <c r="H5" s="1"/>
    </row>
    <row r="6">
      <c r="A6" s="5" t="s">
        <v>0</v>
      </c>
      <c r="B6" s="2"/>
      <c r="C6" s="1"/>
      <c r="D6" s="1"/>
      <c r="E6" s="2"/>
      <c r="F6" s="2"/>
      <c r="G6" s="2"/>
      <c r="H6" s="1"/>
    </row>
    <row r="8">
      <c r="A8" s="6" t="s">
        <v>1</v>
      </c>
      <c r="B8" s="7"/>
      <c r="C8" s="7"/>
      <c r="D8" s="7"/>
      <c r="E8" s="6" t="s">
        <v>2</v>
      </c>
      <c r="F8" s="8"/>
      <c r="G8" s="9"/>
      <c r="H8" s="7"/>
      <c r="I8" s="6" t="s">
        <v>3</v>
      </c>
      <c r="J8" s="10"/>
      <c r="K8" s="11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 t="s">
        <v>4</v>
      </c>
      <c r="B9" s="12" t="s">
        <v>5</v>
      </c>
      <c r="C9" s="12" t="s">
        <v>6</v>
      </c>
      <c r="D9" s="13"/>
      <c r="E9" s="12" t="s">
        <v>4</v>
      </c>
      <c r="F9" s="14" t="s">
        <v>5</v>
      </c>
      <c r="G9" s="12" t="s">
        <v>6</v>
      </c>
      <c r="H9" s="13"/>
      <c r="I9" s="12" t="s">
        <v>4</v>
      </c>
      <c r="J9" s="14" t="s">
        <v>5</v>
      </c>
      <c r="K9" s="12" t="s">
        <v>6</v>
      </c>
    </row>
    <row r="10">
      <c r="A10" s="15" t="s">
        <v>7</v>
      </c>
      <c r="B10" s="16">
        <v>1600000.0</v>
      </c>
      <c r="C10" s="15" t="s">
        <v>8</v>
      </c>
      <c r="E10" s="15" t="s">
        <v>9</v>
      </c>
      <c r="F10" s="17">
        <v>2000.0</v>
      </c>
      <c r="G10" s="15" t="s">
        <v>10</v>
      </c>
      <c r="I10" s="15" t="s">
        <v>11</v>
      </c>
      <c r="J10" s="17">
        <v>9000000.0</v>
      </c>
      <c r="K10" s="15" t="s">
        <v>10</v>
      </c>
    </row>
    <row r="11">
      <c r="A11" s="18" t="s">
        <v>12</v>
      </c>
      <c r="B11" s="19">
        <v>0.65</v>
      </c>
      <c r="C11" s="18" t="s">
        <v>13</v>
      </c>
      <c r="E11" s="18" t="s">
        <v>14</v>
      </c>
      <c r="F11" s="18">
        <v>4.0</v>
      </c>
      <c r="G11" s="18" t="s">
        <v>10</v>
      </c>
      <c r="I11" s="18" t="s">
        <v>15</v>
      </c>
      <c r="J11" s="18">
        <v>0.05</v>
      </c>
      <c r="K11" s="18" t="s">
        <v>10</v>
      </c>
    </row>
    <row r="12">
      <c r="A12" s="15" t="s">
        <v>16</v>
      </c>
      <c r="B12" s="17">
        <f>B10 * B11</f>
        <v>1040000</v>
      </c>
      <c r="C12" s="15" t="s">
        <v>17</v>
      </c>
      <c r="E12" s="15" t="s">
        <v>18</v>
      </c>
      <c r="F12" s="17">
        <f>F10*F11</f>
        <v>8000</v>
      </c>
      <c r="G12" s="15" t="s">
        <v>19</v>
      </c>
      <c r="I12" s="15" t="s">
        <v>20</v>
      </c>
      <c r="J12" s="17">
        <f>J10*J11</f>
        <v>450000</v>
      </c>
      <c r="K12" s="15" t="s">
        <v>21</v>
      </c>
    </row>
    <row r="13">
      <c r="A13" s="18" t="s">
        <v>22</v>
      </c>
      <c r="B13" s="18">
        <v>0.15</v>
      </c>
      <c r="C13" s="18" t="s">
        <v>10</v>
      </c>
      <c r="E13" s="20" t="s">
        <v>23</v>
      </c>
      <c r="F13" s="21">
        <f>F12*360</f>
        <v>2880000</v>
      </c>
      <c r="G13" s="18" t="s">
        <v>24</v>
      </c>
      <c r="I13" s="18" t="s">
        <v>25</v>
      </c>
      <c r="J13" s="18">
        <v>3.0</v>
      </c>
      <c r="K13" s="18" t="s">
        <v>10</v>
      </c>
    </row>
    <row r="14">
      <c r="A14" s="15" t="s">
        <v>26</v>
      </c>
      <c r="B14" s="17">
        <f>B12*B13</f>
        <v>156000</v>
      </c>
      <c r="C14" s="15" t="s">
        <v>27</v>
      </c>
      <c r="E14" s="22"/>
      <c r="F14" s="22"/>
      <c r="G14" s="22"/>
      <c r="I14" s="23" t="s">
        <v>28</v>
      </c>
      <c r="J14" s="23">
        <v>1.0</v>
      </c>
      <c r="K14" s="23" t="s">
        <v>10</v>
      </c>
    </row>
    <row r="15">
      <c r="A15" s="18" t="s">
        <v>29</v>
      </c>
      <c r="B15" s="18">
        <v>4.0</v>
      </c>
      <c r="C15" s="18" t="s">
        <v>30</v>
      </c>
      <c r="I15" s="24" t="s">
        <v>31</v>
      </c>
      <c r="J15" s="25">
        <f>J12*J13*J14</f>
        <v>1350000</v>
      </c>
      <c r="K15" s="26" t="s">
        <v>32</v>
      </c>
    </row>
    <row r="16">
      <c r="A16" s="23" t="s">
        <v>33</v>
      </c>
      <c r="B16" s="23">
        <f>B14*B15</f>
        <v>624000</v>
      </c>
      <c r="C16" s="23" t="s">
        <v>34</v>
      </c>
    </row>
    <row r="17">
      <c r="A17" s="27" t="s">
        <v>35</v>
      </c>
      <c r="B17" s="25">
        <f>B16*12</f>
        <v>7488000</v>
      </c>
      <c r="C17" s="26" t="s">
        <v>36</v>
      </c>
    </row>
    <row r="19">
      <c r="A19" s="28" t="s">
        <v>37</v>
      </c>
      <c r="B19" s="29">
        <f>B17*'UNIT ECONOMICS (per ride) (Y)'!B9</f>
        <v>23212800</v>
      </c>
      <c r="F19" s="24" t="s">
        <v>38</v>
      </c>
      <c r="G19" s="25">
        <f>F13+J15</f>
        <v>4230000</v>
      </c>
    </row>
    <row r="28">
      <c r="B28" s="30"/>
      <c r="C28" s="30"/>
      <c r="D28" s="30"/>
      <c r="E28" s="30"/>
      <c r="F28" s="30"/>
      <c r="G28" s="30"/>
      <c r="H28" s="30"/>
      <c r="I28" s="30"/>
      <c r="J28" s="30"/>
    </row>
    <row r="29">
      <c r="B29" s="30"/>
      <c r="C29" s="30"/>
      <c r="D29" s="30"/>
      <c r="E29" s="30"/>
      <c r="F29" s="30"/>
      <c r="G29" s="30"/>
      <c r="H29" s="30"/>
      <c r="I29" s="30"/>
      <c r="J29" s="30"/>
    </row>
    <row r="30">
      <c r="B30" s="30"/>
      <c r="C30" s="30"/>
      <c r="D30" s="30"/>
      <c r="E30" s="30"/>
      <c r="F30" s="30"/>
      <c r="G30" s="30"/>
      <c r="H30" s="30"/>
      <c r="I30" s="30"/>
      <c r="J30" s="30"/>
    </row>
    <row r="31">
      <c r="B31" s="30"/>
      <c r="C31" s="30"/>
      <c r="D31" s="30"/>
      <c r="E31" s="30"/>
      <c r="F31" s="30"/>
      <c r="G31" s="30"/>
      <c r="H31" s="30"/>
      <c r="I31" s="30"/>
      <c r="J31" s="30"/>
    </row>
    <row r="32">
      <c r="B32" s="30"/>
      <c r="C32" s="30"/>
      <c r="D32" s="30"/>
      <c r="E32" s="30"/>
      <c r="F32" s="30"/>
      <c r="G32" s="31"/>
      <c r="H32" s="31"/>
      <c r="I32" s="31"/>
      <c r="J32" s="30"/>
    </row>
    <row r="33">
      <c r="B33" s="30"/>
      <c r="C33" s="31"/>
      <c r="D33" s="31"/>
      <c r="E33" s="31"/>
      <c r="F33" s="30"/>
      <c r="G33" s="31"/>
      <c r="H33" s="32"/>
      <c r="I33" s="31"/>
      <c r="J33" s="30"/>
    </row>
    <row r="34">
      <c r="B34" s="30"/>
      <c r="C34" s="31"/>
      <c r="D34" s="32"/>
      <c r="E34" s="31"/>
      <c r="F34" s="30"/>
      <c r="G34" s="31"/>
      <c r="H34" s="32"/>
      <c r="I34" s="31"/>
      <c r="J34" s="30"/>
    </row>
    <row r="35">
      <c r="B35" s="30"/>
      <c r="C35" s="31"/>
      <c r="D35" s="32"/>
      <c r="E35" s="31"/>
      <c r="F35" s="30"/>
      <c r="G35" s="31"/>
      <c r="H35" s="33"/>
      <c r="I35" s="31"/>
      <c r="J35" s="30"/>
    </row>
    <row r="36">
      <c r="B36" s="30"/>
      <c r="C36" s="31"/>
      <c r="D36" s="33"/>
      <c r="E36" s="31"/>
      <c r="F36" s="30"/>
      <c r="G36" s="31"/>
      <c r="H36" s="31"/>
      <c r="I36" s="31"/>
      <c r="J36" s="30"/>
    </row>
    <row r="37">
      <c r="B37" s="30"/>
      <c r="C37" s="31"/>
      <c r="D37" s="31"/>
      <c r="E37" s="31"/>
      <c r="F37" s="30"/>
      <c r="G37" s="31"/>
      <c r="H37" s="33"/>
      <c r="I37" s="31"/>
      <c r="J37" s="30"/>
    </row>
    <row r="38">
      <c r="B38" s="30"/>
      <c r="C38" s="31"/>
      <c r="D38" s="33"/>
      <c r="E38" s="31"/>
      <c r="F38" s="30"/>
      <c r="G38" s="31"/>
      <c r="H38" s="31"/>
      <c r="I38" s="31"/>
      <c r="J38" s="30"/>
    </row>
    <row r="39">
      <c r="B39" s="30"/>
      <c r="C39" s="31"/>
      <c r="D39" s="31"/>
      <c r="E39" s="31"/>
      <c r="F39" s="30"/>
      <c r="G39" s="31"/>
      <c r="H39" s="31"/>
      <c r="I39" s="31"/>
      <c r="J39" s="30"/>
    </row>
    <row r="40">
      <c r="B40" s="30"/>
      <c r="C40" s="31"/>
      <c r="D40" s="31"/>
      <c r="E40" s="31"/>
      <c r="F40" s="30"/>
      <c r="G40" s="30"/>
      <c r="H40" s="30"/>
      <c r="I40" s="30"/>
      <c r="J40" s="30"/>
    </row>
    <row r="41">
      <c r="B41" s="30"/>
      <c r="C41" s="30"/>
      <c r="D41" s="30"/>
      <c r="E41" s="30"/>
      <c r="F41" s="30"/>
      <c r="G41" s="30"/>
      <c r="H41" s="30"/>
      <c r="I41" s="30"/>
      <c r="J41" s="30"/>
    </row>
    <row r="42">
      <c r="B42" s="30"/>
      <c r="C42" s="30"/>
      <c r="D42" s="30"/>
      <c r="E42" s="30"/>
      <c r="F42" s="30"/>
      <c r="G42" s="30"/>
      <c r="H42" s="30"/>
      <c r="I42" s="30"/>
      <c r="J42" s="3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29.13"/>
    <col customWidth="1" min="3" max="3" width="30.0"/>
    <col customWidth="1" min="4" max="4" width="44.0"/>
  </cols>
  <sheetData>
    <row r="1">
      <c r="A1" s="1"/>
      <c r="B1" s="2"/>
      <c r="C1" s="1"/>
    </row>
    <row r="2">
      <c r="A2" s="1"/>
      <c r="B2" s="2"/>
      <c r="C2" s="1"/>
    </row>
    <row r="3">
      <c r="A3" s="3"/>
      <c r="B3" s="2"/>
      <c r="C3" s="1"/>
    </row>
    <row r="4">
      <c r="A4" s="4"/>
      <c r="B4" s="2"/>
      <c r="C4" s="1"/>
    </row>
    <row r="5">
      <c r="A5" s="4"/>
      <c r="B5" s="2"/>
      <c r="C5" s="1"/>
    </row>
    <row r="6">
      <c r="A6" s="5" t="s">
        <v>39</v>
      </c>
      <c r="B6" s="2"/>
      <c r="C6" s="1"/>
    </row>
    <row r="8">
      <c r="A8" s="34" t="s">
        <v>40</v>
      </c>
      <c r="B8" s="34" t="s">
        <v>41</v>
      </c>
      <c r="C8" s="34" t="s">
        <v>42</v>
      </c>
    </row>
    <row r="9">
      <c r="A9" s="35">
        <f> 'MARKET SIZE ESTIMATION (Y)'!G19*'UNIT ECONOMICS (per ride) (Y)'!B9</f>
        <v>13113000</v>
      </c>
      <c r="B9" s="35">
        <f>'SUBSCRIPTION MODEL (Y)'!B12</f>
        <v>2961000</v>
      </c>
      <c r="C9" s="35">
        <f>A9-B9</f>
        <v>10152000</v>
      </c>
    </row>
    <row r="10">
      <c r="A10" s="22"/>
      <c r="B10" s="36"/>
      <c r="C10" s="22"/>
    </row>
    <row r="12">
      <c r="A12" s="34" t="s">
        <v>43</v>
      </c>
      <c r="B12" s="7"/>
      <c r="C12" s="37"/>
      <c r="D12" s="38"/>
    </row>
    <row r="13">
      <c r="A13" s="12" t="s">
        <v>44</v>
      </c>
      <c r="B13" s="14" t="s">
        <v>6</v>
      </c>
      <c r="C13" s="39"/>
      <c r="D13" s="38"/>
    </row>
    <row r="14">
      <c r="A14" s="40" t="s">
        <v>45</v>
      </c>
      <c r="B14" s="41">
        <f>('MARKET SIZE ESTIMATION (Y)'!F10*400)/1.5</f>
        <v>533333.3333</v>
      </c>
      <c r="C14" s="38"/>
      <c r="D14" s="38"/>
    </row>
    <row r="15">
      <c r="A15" s="42" t="s">
        <v>46</v>
      </c>
      <c r="B15" s="43">
        <f>'MARKET SIZE ESTIMATION (Y)'!G19*'UNIT ECONOMICS (per ride) (Y)'!B13</f>
        <v>1438200</v>
      </c>
      <c r="C15" s="38"/>
      <c r="D15" s="38"/>
    </row>
    <row r="16">
      <c r="A16" s="40" t="s">
        <v>47</v>
      </c>
      <c r="B16" s="44">
        <f>'MARKET SIZE ESTIMATION (Y)'!F10*0.75*365</f>
        <v>547500</v>
      </c>
      <c r="C16" s="38"/>
      <c r="D16" s="38"/>
    </row>
    <row r="17">
      <c r="A17" s="42" t="s">
        <v>48</v>
      </c>
      <c r="B17" s="43">
        <f>A9*2%</f>
        <v>262260</v>
      </c>
      <c r="C17" s="38"/>
      <c r="D17" s="38"/>
    </row>
    <row r="18">
      <c r="A18" s="40" t="s">
        <v>49</v>
      </c>
      <c r="B18" s="44">
        <f>35000*20</f>
        <v>700000</v>
      </c>
      <c r="C18" s="38"/>
      <c r="D18" s="38"/>
    </row>
    <row r="19">
      <c r="A19" s="42" t="s">
        <v>50</v>
      </c>
      <c r="B19" s="43">
        <f>300000</f>
        <v>300000</v>
      </c>
      <c r="C19" s="38"/>
      <c r="D19" s="38"/>
    </row>
    <row r="20">
      <c r="A20" s="40" t="s">
        <v>51</v>
      </c>
      <c r="B20" s="44">
        <f>A9*10%</f>
        <v>1311300</v>
      </c>
      <c r="C20" s="38"/>
      <c r="D20" s="38"/>
    </row>
    <row r="21">
      <c r="A21" s="42" t="s">
        <v>52</v>
      </c>
      <c r="B21" s="43">
        <f>'MARKET SIZE ESTIMATION (Y)'!F10*'UNIT ECONOMICS (per ride) (Y)'!B36</f>
        <v>200000</v>
      </c>
      <c r="C21" s="38"/>
      <c r="D21" s="38"/>
    </row>
    <row r="22">
      <c r="A22" s="45" t="s">
        <v>53</v>
      </c>
      <c r="B22" s="46">
        <f>SUM(B14:B21)</f>
        <v>5292593.333</v>
      </c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4" t="s">
        <v>54</v>
      </c>
      <c r="B24" s="34" t="s">
        <v>55</v>
      </c>
    </row>
    <row r="25">
      <c r="A25" s="39" t="s">
        <v>56</v>
      </c>
      <c r="C25" s="39"/>
    </row>
    <row r="26">
      <c r="A26" s="35">
        <f>A9-SUM(B14:B21)</f>
        <v>7820406.667</v>
      </c>
      <c r="B26" s="47">
        <f>A26/A9</f>
        <v>0.5963857749</v>
      </c>
      <c r="C26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2" max="2" width="31.0"/>
    <col customWidth="1" min="3" max="3" width="60.5"/>
  </cols>
  <sheetData>
    <row r="1">
      <c r="A1" s="1"/>
      <c r="B1" s="2"/>
    </row>
    <row r="2">
      <c r="A2" s="1"/>
      <c r="B2" s="2"/>
    </row>
    <row r="3">
      <c r="A3" s="3"/>
      <c r="B3" s="2"/>
    </row>
    <row r="4">
      <c r="A4" s="4"/>
      <c r="B4" s="2"/>
    </row>
    <row r="5">
      <c r="A5" s="4"/>
      <c r="B5" s="2"/>
    </row>
    <row r="6">
      <c r="A6" s="5" t="s">
        <v>57</v>
      </c>
      <c r="B6" s="2"/>
    </row>
    <row r="8">
      <c r="A8" s="12" t="s">
        <v>44</v>
      </c>
      <c r="B8" s="14" t="s">
        <v>6</v>
      </c>
      <c r="C8" s="12" t="s">
        <v>58</v>
      </c>
    </row>
    <row r="9">
      <c r="A9" s="15" t="s">
        <v>59</v>
      </c>
      <c r="B9" s="48">
        <v>3.1</v>
      </c>
      <c r="C9" s="15" t="s">
        <v>60</v>
      </c>
      <c r="D9" s="49">
        <f>'P&amp;L (YEAR 1)'!A9/'MARKET SIZE ESTIMATION (Y)'!G19</f>
        <v>3.1</v>
      </c>
    </row>
    <row r="10">
      <c r="A10" s="39"/>
      <c r="B10" s="39"/>
      <c r="C10" s="39"/>
    </row>
    <row r="11">
      <c r="A11" s="34" t="s">
        <v>61</v>
      </c>
      <c r="B11" s="39"/>
      <c r="C11" s="39"/>
    </row>
    <row r="12">
      <c r="A12" s="12" t="s">
        <v>44</v>
      </c>
      <c r="B12" s="14" t="s">
        <v>6</v>
      </c>
      <c r="C12" s="12" t="s">
        <v>58</v>
      </c>
    </row>
    <row r="13">
      <c r="A13" s="42" t="s">
        <v>62</v>
      </c>
      <c r="B13" s="50">
        <v>0.34</v>
      </c>
      <c r="C13" s="42" t="s">
        <v>10</v>
      </c>
    </row>
    <row r="14">
      <c r="A14" s="40" t="s">
        <v>63</v>
      </c>
      <c r="B14" s="51">
        <f>'P&amp;L (YEAR 1)'!B16/'MARKET SIZE ESTIMATION (Y)'!G19</f>
        <v>0.1294326241</v>
      </c>
      <c r="C14" s="40" t="s">
        <v>64</v>
      </c>
    </row>
    <row r="15">
      <c r="A15" s="42" t="s">
        <v>65</v>
      </c>
      <c r="B15" s="50">
        <f>'P&amp;L (YEAR 1)'!B14/'MARKET SIZE ESTIMATION (Y)'!G19</f>
        <v>0.1260835303</v>
      </c>
      <c r="C15" s="42" t="s">
        <v>66</v>
      </c>
    </row>
    <row r="16">
      <c r="A16" s="40" t="s">
        <v>67</v>
      </c>
      <c r="B16" s="51">
        <f>B9*2%</f>
        <v>0.062</v>
      </c>
      <c r="C16" s="40" t="s">
        <v>68</v>
      </c>
    </row>
    <row r="17">
      <c r="A17" s="42" t="s">
        <v>69</v>
      </c>
      <c r="B17" s="50">
        <f>'P&amp;L (YEAR 1)'!B18/'MARKET SIZE ESTIMATION (Y)'!G19</f>
        <v>0.1654846336</v>
      </c>
      <c r="C17" s="42"/>
    </row>
    <row r="18">
      <c r="A18" s="40" t="s">
        <v>50</v>
      </c>
      <c r="B18" s="51">
        <f>'P&amp;L (YEAR 1)'!B19/'MARKET SIZE ESTIMATION (Y)'!G19</f>
        <v>0.07092198582</v>
      </c>
      <c r="C18" s="40"/>
    </row>
    <row r="19">
      <c r="A19" s="52" t="s">
        <v>51</v>
      </c>
      <c r="B19" s="53">
        <f>'P&amp;L (YEAR 1)'!B20/'MARKET SIZE ESTIMATION (Y)'!G19</f>
        <v>0.31</v>
      </c>
      <c r="C19" s="52"/>
    </row>
    <row r="20">
      <c r="A20" s="54" t="s">
        <v>52</v>
      </c>
      <c r="B20" s="55">
        <f>'P&amp;L (YEAR 1)'!B21/'MARKET SIZE ESTIMATION (Y)'!G19</f>
        <v>0.04728132388</v>
      </c>
      <c r="C20" s="56"/>
    </row>
    <row r="21">
      <c r="A21" s="45" t="s">
        <v>70</v>
      </c>
      <c r="B21" s="57">
        <f>Sum(B13:B20)</f>
        <v>1.251204098</v>
      </c>
      <c r="C21" s="22"/>
    </row>
    <row r="22">
      <c r="A22" s="22"/>
      <c r="B22" s="58"/>
      <c r="C22" s="22"/>
    </row>
    <row r="23">
      <c r="A23" s="52" t="s">
        <v>71</v>
      </c>
      <c r="B23" s="53">
        <f>(B9-B21)</f>
        <v>1.848795902</v>
      </c>
      <c r="C23" s="52" t="s">
        <v>72</v>
      </c>
    </row>
    <row r="24">
      <c r="A24" s="22"/>
      <c r="B24" s="58"/>
      <c r="C24" s="22"/>
    </row>
    <row r="25">
      <c r="A25" s="34" t="s">
        <v>73</v>
      </c>
      <c r="C25" s="59"/>
    </row>
    <row r="26">
      <c r="A26" s="12" t="s">
        <v>44</v>
      </c>
      <c r="B26" s="14" t="s">
        <v>6</v>
      </c>
      <c r="C26" s="12" t="s">
        <v>58</v>
      </c>
    </row>
    <row r="27">
      <c r="A27" s="42" t="s">
        <v>74</v>
      </c>
      <c r="B27" s="50">
        <v>15.0</v>
      </c>
      <c r="C27" s="42" t="s">
        <v>10</v>
      </c>
      <c r="D27" s="49">
        <f>'P&amp;L (YEAR 1)'!A9*10%/('MARKET SIZE ESTIMATION (Y)'!G19/B30)</f>
        <v>14.88</v>
      </c>
    </row>
    <row r="28">
      <c r="A28" s="40" t="s">
        <v>75</v>
      </c>
      <c r="B28" s="60">
        <v>12.0</v>
      </c>
      <c r="C28" s="40"/>
    </row>
    <row r="29">
      <c r="A29" s="42" t="s">
        <v>76</v>
      </c>
      <c r="B29" s="61">
        <f>'MARKET SIZE ESTIMATION (Y)'!B15</f>
        <v>4</v>
      </c>
      <c r="C29" s="42"/>
    </row>
    <row r="30">
      <c r="A30" s="40" t="s">
        <v>77</v>
      </c>
      <c r="B30" s="60">
        <f>B28*B29</f>
        <v>48</v>
      </c>
      <c r="C30" s="40"/>
    </row>
    <row r="31">
      <c r="A31" s="42" t="s">
        <v>78</v>
      </c>
      <c r="B31" s="50">
        <f>B9</f>
        <v>3.1</v>
      </c>
      <c r="C31" s="42"/>
    </row>
    <row r="32">
      <c r="A32" s="40" t="s">
        <v>79</v>
      </c>
      <c r="B32" s="62">
        <f>(B23/B9)</f>
        <v>0.5963857749</v>
      </c>
      <c r="C32" s="40"/>
    </row>
    <row r="33">
      <c r="A33" s="52" t="s">
        <v>80</v>
      </c>
      <c r="B33" s="53">
        <f>B23*B30</f>
        <v>88.74220331</v>
      </c>
      <c r="C33" s="52"/>
    </row>
    <row r="34">
      <c r="A34" s="54" t="s">
        <v>81</v>
      </c>
      <c r="B34" s="55">
        <f>B33-B27</f>
        <v>73.74220331</v>
      </c>
      <c r="C34" s="54"/>
    </row>
    <row r="35">
      <c r="A35" s="42" t="s">
        <v>82</v>
      </c>
      <c r="B35" s="63">
        <f>B33/B27</f>
        <v>5.916146887</v>
      </c>
      <c r="C35" s="42"/>
      <c r="F35" s="64"/>
    </row>
    <row r="36">
      <c r="A36" s="54" t="s">
        <v>83</v>
      </c>
      <c r="B36" s="55">
        <v>100.0</v>
      </c>
      <c r="C36" s="54" t="s">
        <v>84</v>
      </c>
    </row>
    <row r="38">
      <c r="C38" s="6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  <col customWidth="1" min="2" max="2" width="36.5"/>
    <col customWidth="1" min="3" max="3" width="42.88"/>
  </cols>
  <sheetData>
    <row r="2">
      <c r="A2" s="1"/>
      <c r="B2" s="2"/>
      <c r="C2" s="39"/>
    </row>
    <row r="3">
      <c r="A3" s="3"/>
      <c r="B3" s="2"/>
      <c r="C3" s="39"/>
    </row>
    <row r="4">
      <c r="A4" s="4"/>
      <c r="B4" s="2"/>
      <c r="C4" s="39"/>
    </row>
    <row r="5">
      <c r="A5" s="4"/>
      <c r="B5" s="2"/>
      <c r="C5" s="39"/>
    </row>
    <row r="6">
      <c r="A6" s="5" t="s">
        <v>85</v>
      </c>
      <c r="B6" s="2"/>
      <c r="C6" s="39"/>
    </row>
    <row r="7">
      <c r="A7" s="39"/>
      <c r="B7" s="66"/>
      <c r="C7" s="39"/>
    </row>
    <row r="8">
      <c r="A8" s="12" t="s">
        <v>44</v>
      </c>
      <c r="B8" s="14" t="s">
        <v>6</v>
      </c>
      <c r="C8" s="12" t="s">
        <v>58</v>
      </c>
    </row>
    <row r="9">
      <c r="A9" s="18" t="s">
        <v>86</v>
      </c>
      <c r="B9" s="67">
        <v>0.2</v>
      </c>
      <c r="C9" s="18" t="s">
        <v>30</v>
      </c>
    </row>
    <row r="10">
      <c r="A10" s="15" t="s">
        <v>87</v>
      </c>
      <c r="B10" s="68">
        <f> 'MARKET SIZE ESTIMATION (Y)'!G19*B9</f>
        <v>846000</v>
      </c>
      <c r="C10" s="42"/>
    </row>
    <row r="11">
      <c r="A11" s="18" t="s">
        <v>88</v>
      </c>
      <c r="B11" s="67">
        <v>3.5</v>
      </c>
      <c r="C11" s="18" t="s">
        <v>30</v>
      </c>
    </row>
    <row r="12">
      <c r="A12" s="15" t="s">
        <v>89</v>
      </c>
      <c r="B12" s="69">
        <f>B10*B11</f>
        <v>2961000</v>
      </c>
      <c r="C12" s="15" t="s">
        <v>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2.13"/>
    <col customWidth="1" min="3" max="3" width="22.5"/>
  </cols>
  <sheetData>
    <row r="1">
      <c r="B1" s="70"/>
      <c r="C1" s="70"/>
    </row>
    <row r="2">
      <c r="A2" s="1"/>
      <c r="B2" s="70"/>
      <c r="C2" s="70"/>
    </row>
    <row r="3">
      <c r="A3" s="3"/>
      <c r="B3" s="70"/>
      <c r="C3" s="70"/>
    </row>
    <row r="4">
      <c r="A4" s="4"/>
      <c r="B4" s="70"/>
      <c r="C4" s="70"/>
    </row>
    <row r="5">
      <c r="A5" s="4"/>
      <c r="B5" s="70"/>
      <c r="C5" s="70"/>
    </row>
    <row r="6">
      <c r="A6" s="5" t="s">
        <v>91</v>
      </c>
      <c r="B6" s="70"/>
      <c r="C6" s="70"/>
    </row>
    <row r="7">
      <c r="A7" s="70"/>
      <c r="B7" s="70"/>
      <c r="C7" s="70"/>
    </row>
    <row r="8">
      <c r="A8" s="12" t="s">
        <v>92</v>
      </c>
      <c r="B8" s="14" t="s">
        <v>93</v>
      </c>
      <c r="C8" s="12" t="s">
        <v>94</v>
      </c>
    </row>
    <row r="9">
      <c r="A9" s="71" t="s">
        <v>95</v>
      </c>
      <c r="B9" s="72">
        <v>0.06</v>
      </c>
      <c r="C9" s="73">
        <f>'MARKET SIZE ESTIMATION (Y)'!$G$19*B9</f>
        <v>253800</v>
      </c>
    </row>
    <row r="10">
      <c r="A10" s="26" t="s">
        <v>96</v>
      </c>
      <c r="B10" s="74">
        <v>0.06</v>
      </c>
      <c r="C10" s="75">
        <f>'MARKET SIZE ESTIMATION (Y)'!$G$19*B10</f>
        <v>253800</v>
      </c>
    </row>
    <row r="11">
      <c r="A11" s="71" t="s">
        <v>97</v>
      </c>
      <c r="B11" s="72">
        <v>0.07</v>
      </c>
      <c r="C11" s="73">
        <f>'MARKET SIZE ESTIMATION (Y)'!$G$19*B11</f>
        <v>296100</v>
      </c>
    </row>
    <row r="12">
      <c r="A12" s="26" t="s">
        <v>98</v>
      </c>
      <c r="B12" s="74">
        <v>0.08</v>
      </c>
      <c r="C12" s="75">
        <f>'MARKET SIZE ESTIMATION (Y)'!$G$19*B12</f>
        <v>338400</v>
      </c>
    </row>
    <row r="13">
      <c r="A13" s="71" t="s">
        <v>99</v>
      </c>
      <c r="B13" s="72">
        <v>0.08</v>
      </c>
      <c r="C13" s="73">
        <f>'MARKET SIZE ESTIMATION (Y)'!$G$19*B13</f>
        <v>338400</v>
      </c>
    </row>
    <row r="14">
      <c r="A14" s="26" t="s">
        <v>100</v>
      </c>
      <c r="B14" s="74">
        <v>0.09</v>
      </c>
      <c r="C14" s="75">
        <f>'MARKET SIZE ESTIMATION (Y)'!$G$19*B14</f>
        <v>380700</v>
      </c>
    </row>
    <row r="15">
      <c r="A15" s="71" t="s">
        <v>101</v>
      </c>
      <c r="B15" s="72">
        <v>0.12</v>
      </c>
      <c r="C15" s="73">
        <f>'MARKET SIZE ESTIMATION (Y)'!$G$19*B15</f>
        <v>507600</v>
      </c>
    </row>
    <row r="16">
      <c r="A16" s="26" t="s">
        <v>102</v>
      </c>
      <c r="B16" s="74">
        <v>0.13</v>
      </c>
      <c r="C16" s="75">
        <f>'MARKET SIZE ESTIMATION (Y)'!$G$19*B16</f>
        <v>549900</v>
      </c>
    </row>
    <row r="17">
      <c r="A17" s="71" t="s">
        <v>103</v>
      </c>
      <c r="B17" s="72">
        <v>0.1</v>
      </c>
      <c r="C17" s="73">
        <f>'MARKET SIZE ESTIMATION (Y)'!$G$19*B17</f>
        <v>423000</v>
      </c>
    </row>
    <row r="18">
      <c r="A18" s="26" t="s">
        <v>104</v>
      </c>
      <c r="B18" s="74">
        <v>0.09</v>
      </c>
      <c r="C18" s="75">
        <f>'MARKET SIZE ESTIMATION (Y)'!$G$19*B18</f>
        <v>380700</v>
      </c>
    </row>
    <row r="19">
      <c r="A19" s="71" t="s">
        <v>105</v>
      </c>
      <c r="B19" s="72">
        <v>0.06</v>
      </c>
      <c r="C19" s="73">
        <f>'MARKET SIZE ESTIMATION (Y)'!$G$19*B19</f>
        <v>253800</v>
      </c>
    </row>
    <row r="20">
      <c r="A20" s="26" t="s">
        <v>106</v>
      </c>
      <c r="B20" s="74">
        <v>0.06</v>
      </c>
      <c r="C20" s="75">
        <f>'MARKET SIZE ESTIMATION (Y)'!$G$19*B20</f>
        <v>253800</v>
      </c>
    </row>
    <row r="21">
      <c r="B21" s="45" t="s">
        <v>107</v>
      </c>
      <c r="C21" s="76">
        <f>SUM(C9:C20)</f>
        <v>4230000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10.13"/>
    <col customWidth="1" min="3" max="3" width="16.25"/>
    <col customWidth="1" min="4" max="4" width="17.0"/>
    <col customWidth="1" min="5" max="5" width="23.13"/>
    <col customWidth="1" min="6" max="6" width="23.88"/>
    <col customWidth="1" min="7" max="7" width="17.0"/>
    <col customWidth="1" min="8" max="8" width="15.5"/>
    <col customWidth="1" min="9" max="9" width="15.75"/>
    <col customWidth="1" min="10" max="10" width="35.25"/>
    <col customWidth="1" min="11" max="11" width="22.0"/>
    <col customWidth="1" min="12" max="12" width="14.88"/>
    <col customWidth="1" min="13" max="13" width="27.5"/>
    <col customWidth="1" min="14" max="14" width="22.88"/>
    <col customWidth="1" min="15" max="23" width="27.5"/>
    <col customWidth="1" min="24" max="24" width="22.38"/>
    <col customWidth="1" min="25" max="25" width="21.63"/>
    <col customWidth="1" min="26" max="26" width="27.5"/>
    <col customWidth="1" min="27" max="27" width="19.25"/>
    <col customWidth="1" min="28" max="28" width="13.75"/>
    <col customWidth="1" min="29" max="29" width="22.38"/>
    <col customWidth="1" min="30" max="30" width="21.63"/>
    <col customWidth="1" min="31" max="31" width="15.5"/>
  </cols>
  <sheetData>
    <row r="2">
      <c r="A2" s="40" t="s">
        <v>92</v>
      </c>
      <c r="B2" s="42" t="s">
        <v>108</v>
      </c>
      <c r="C2" s="40" t="s">
        <v>87</v>
      </c>
      <c r="D2" s="42" t="s">
        <v>109</v>
      </c>
      <c r="E2" s="40" t="s">
        <v>110</v>
      </c>
      <c r="F2" s="42" t="s">
        <v>111</v>
      </c>
      <c r="G2" s="40" t="s">
        <v>112</v>
      </c>
      <c r="H2" s="42" t="s">
        <v>113</v>
      </c>
      <c r="I2" s="40" t="s">
        <v>114</v>
      </c>
      <c r="J2" s="42" t="s">
        <v>115</v>
      </c>
      <c r="K2" s="40" t="s">
        <v>116</v>
      </c>
      <c r="L2" s="42" t="s">
        <v>117</v>
      </c>
      <c r="M2" s="40" t="s">
        <v>118</v>
      </c>
      <c r="N2" s="42" t="s">
        <v>119</v>
      </c>
      <c r="O2" s="40" t="s">
        <v>45</v>
      </c>
      <c r="P2" s="42" t="s">
        <v>46</v>
      </c>
      <c r="Q2" s="40" t="s">
        <v>47</v>
      </c>
      <c r="R2" s="42" t="s">
        <v>48</v>
      </c>
      <c r="S2" s="40" t="s">
        <v>49</v>
      </c>
      <c r="T2" s="42" t="s">
        <v>50</v>
      </c>
      <c r="U2" s="40" t="s">
        <v>51</v>
      </c>
      <c r="V2" s="42" t="s">
        <v>52</v>
      </c>
      <c r="W2" s="40" t="s">
        <v>120</v>
      </c>
      <c r="X2" s="42" t="s">
        <v>121</v>
      </c>
      <c r="Y2" s="40" t="s">
        <v>122</v>
      </c>
      <c r="Z2" s="42" t="s">
        <v>71</v>
      </c>
      <c r="AA2" s="40" t="s">
        <v>123</v>
      </c>
    </row>
    <row r="3">
      <c r="A3" s="77" t="s">
        <v>95</v>
      </c>
      <c r="B3" s="78">
        <v>253800.0</v>
      </c>
      <c r="C3" s="78">
        <v>50760.0</v>
      </c>
      <c r="D3" s="78">
        <v>203040.0</v>
      </c>
      <c r="E3" s="78">
        <v>177660.0</v>
      </c>
      <c r="F3" s="78">
        <v>609120.0</v>
      </c>
      <c r="G3" s="78">
        <v>786780.0</v>
      </c>
      <c r="H3" s="79">
        <f>'P&amp;L (YEAR 1)'!$B$22*'Demand &amp; Seasonality (M)'!B9</f>
        <v>317555.6</v>
      </c>
      <c r="I3" s="79">
        <f>'P&amp;L (YEAR 1)'!$A$26*'Demand &amp; Seasonality (M)'!B9</f>
        <v>469224.4</v>
      </c>
      <c r="J3" s="80">
        <f>B3/'MARKET SIZE ESTIMATION (Y)'!$B$15</f>
        <v>63450</v>
      </c>
      <c r="K3" s="80">
        <f>C3/'MARKET SIZE ESTIMATION (Y)'!$B$15</f>
        <v>12690</v>
      </c>
      <c r="L3" s="81">
        <f>D3/'MARKET SIZE ESTIMATION (Y)'!$B$15</f>
        <v>50760</v>
      </c>
      <c r="M3" s="82">
        <f t="shared" ref="M3:M14" si="1">E3/C3</f>
        <v>3.5</v>
      </c>
      <c r="N3" s="83">
        <f t="shared" ref="N3:N14" si="2">E3/G3</f>
        <v>0.2258064516</v>
      </c>
      <c r="O3" s="49">
        <f>'P&amp;L (YEAR 1)'!$B$14/12</f>
        <v>44444.44444</v>
      </c>
      <c r="P3" s="49">
        <f>'P&amp;L (YEAR 1)'!$B$15*'Demand &amp; Seasonality (M)'!B9</f>
        <v>86292</v>
      </c>
      <c r="Q3" s="49">
        <f>'P&amp;L (YEAR 1)'!$B$16*'Demand &amp; Seasonality (M)'!B9</f>
        <v>32850</v>
      </c>
      <c r="R3" s="84">
        <f t="shared" ref="R3:R14" si="3">SUM($G$3:$G$14)*2%/12</f>
        <v>21855</v>
      </c>
      <c r="S3" s="49">
        <f>'P&amp;L (YEAR 1)'!$B$18/12</f>
        <v>58333.33333</v>
      </c>
      <c r="T3" s="49">
        <f>'P&amp;L (YEAR 1)'!$B$19*'Demand &amp; Seasonality (M)'!B9</f>
        <v>18000</v>
      </c>
      <c r="U3" s="49">
        <f>'P&amp;L (YEAR 1)'!$B$20*'Demand &amp; Seasonality (M)'!B9</f>
        <v>78678</v>
      </c>
      <c r="V3" s="49">
        <f>'P&amp;L (YEAR 1)'!$B$21/12</f>
        <v>16666.66667</v>
      </c>
      <c r="W3" s="84">
        <f t="shared" ref="W3:W14" si="4">G3/B3</f>
        <v>3.1</v>
      </c>
      <c r="X3" s="85">
        <f t="shared" ref="X3:X14" si="5">SUM(O3:V3)/B3</f>
        <v>1.40709001</v>
      </c>
      <c r="Y3" s="85">
        <f t="shared" ref="Y3:Y14" si="6">W3-X3</f>
        <v>1.69290999</v>
      </c>
      <c r="Z3" s="84">
        <f t="shared" ref="Z3:Z14" si="7">Y3/W3</f>
        <v>0.5460999969</v>
      </c>
      <c r="AA3" s="49">
        <f t="shared" ref="AA3:AA14" si="8">G3-SUM(O3:V3)</f>
        <v>429660.5556</v>
      </c>
    </row>
    <row r="4">
      <c r="A4" s="77" t="s">
        <v>96</v>
      </c>
      <c r="B4" s="78">
        <v>253800.0</v>
      </c>
      <c r="C4" s="78">
        <v>50760.0</v>
      </c>
      <c r="D4" s="78">
        <v>203040.0</v>
      </c>
      <c r="E4" s="78">
        <v>177660.0</v>
      </c>
      <c r="F4" s="78">
        <v>609120.0</v>
      </c>
      <c r="G4" s="78">
        <v>786780.0</v>
      </c>
      <c r="H4" s="79">
        <f>'P&amp;L (YEAR 1)'!$B$22*'Demand &amp; Seasonality (M)'!B10</f>
        <v>317555.6</v>
      </c>
      <c r="I4" s="79">
        <f>'P&amp;L (YEAR 1)'!$A$26*'Demand &amp; Seasonality (M)'!B10</f>
        <v>469224.4</v>
      </c>
      <c r="J4" s="80">
        <f>B4/'MARKET SIZE ESTIMATION (Y)'!$B$15</f>
        <v>63450</v>
      </c>
      <c r="K4" s="80">
        <f>C4/'MARKET SIZE ESTIMATION (Y)'!$B$15</f>
        <v>12690</v>
      </c>
      <c r="L4" s="81">
        <f>D4/'MARKET SIZE ESTIMATION (Y)'!$B$15</f>
        <v>50760</v>
      </c>
      <c r="M4" s="82">
        <f t="shared" si="1"/>
        <v>3.5</v>
      </c>
      <c r="N4" s="83">
        <f t="shared" si="2"/>
        <v>0.2258064516</v>
      </c>
      <c r="O4" s="49">
        <f>'P&amp;L (YEAR 1)'!$B$14/12</f>
        <v>44444.44444</v>
      </c>
      <c r="P4" s="49">
        <f>'P&amp;L (YEAR 1)'!$B$15*'Demand &amp; Seasonality (M)'!B10</f>
        <v>86292</v>
      </c>
      <c r="Q4" s="49">
        <f>'P&amp;L (YEAR 1)'!$B$16*'Demand &amp; Seasonality (M)'!B10</f>
        <v>32850</v>
      </c>
      <c r="R4" s="84">
        <f t="shared" si="3"/>
        <v>21855</v>
      </c>
      <c r="S4" s="49">
        <f>'P&amp;L (YEAR 1)'!$B$18/12</f>
        <v>58333.33333</v>
      </c>
      <c r="T4" s="49">
        <f>'P&amp;L (YEAR 1)'!$B$19*'Demand &amp; Seasonality (M)'!B10</f>
        <v>18000</v>
      </c>
      <c r="U4" s="49">
        <f>'P&amp;L (YEAR 1)'!$B$20*'Demand &amp; Seasonality (M)'!B10</f>
        <v>78678</v>
      </c>
      <c r="V4" s="49">
        <f>'P&amp;L (YEAR 1)'!$B$21/12</f>
        <v>16666.66667</v>
      </c>
      <c r="W4" s="84">
        <f t="shared" si="4"/>
        <v>3.1</v>
      </c>
      <c r="X4" s="85">
        <f t="shared" si="5"/>
        <v>1.40709001</v>
      </c>
      <c r="Y4" s="85">
        <f t="shared" si="6"/>
        <v>1.69290999</v>
      </c>
      <c r="Z4" s="84">
        <f t="shared" si="7"/>
        <v>0.5460999969</v>
      </c>
      <c r="AA4" s="49">
        <f t="shared" si="8"/>
        <v>429660.5556</v>
      </c>
    </row>
    <row r="5">
      <c r="A5" s="77" t="s">
        <v>97</v>
      </c>
      <c r="B5" s="78">
        <v>296100.0</v>
      </c>
      <c r="C5" s="78">
        <v>59220.0</v>
      </c>
      <c r="D5" s="78">
        <v>236880.0</v>
      </c>
      <c r="E5" s="78">
        <v>207270.0</v>
      </c>
      <c r="F5" s="78">
        <v>710640.0</v>
      </c>
      <c r="G5" s="78">
        <v>917910.0</v>
      </c>
      <c r="H5" s="79">
        <f>'P&amp;L (YEAR 1)'!$B$22*'Demand &amp; Seasonality (M)'!B11</f>
        <v>370481.5333</v>
      </c>
      <c r="I5" s="79">
        <f>'P&amp;L (YEAR 1)'!$A$26*'Demand &amp; Seasonality (M)'!B11</f>
        <v>547428.4667</v>
      </c>
      <c r="J5" s="80">
        <f>B5/'MARKET SIZE ESTIMATION (Y)'!$B$15</f>
        <v>74025</v>
      </c>
      <c r="K5" s="80">
        <f>C5/'MARKET SIZE ESTIMATION (Y)'!$B$15</f>
        <v>14805</v>
      </c>
      <c r="L5" s="81">
        <f>D5/'MARKET SIZE ESTIMATION (Y)'!$B$15</f>
        <v>59220</v>
      </c>
      <c r="M5" s="82">
        <f t="shared" si="1"/>
        <v>3.5</v>
      </c>
      <c r="N5" s="83">
        <f t="shared" si="2"/>
        <v>0.2258064516</v>
      </c>
      <c r="O5" s="49">
        <f>'P&amp;L (YEAR 1)'!$B$14/12</f>
        <v>44444.44444</v>
      </c>
      <c r="P5" s="49">
        <f>'P&amp;L (YEAR 1)'!$B$15*'Demand &amp; Seasonality (M)'!B11</f>
        <v>100674</v>
      </c>
      <c r="Q5" s="49">
        <f>'P&amp;L (YEAR 1)'!$B$16*'Demand &amp; Seasonality (M)'!B11</f>
        <v>38325</v>
      </c>
      <c r="R5" s="84">
        <f t="shared" si="3"/>
        <v>21855</v>
      </c>
      <c r="S5" s="49">
        <f>'P&amp;L (YEAR 1)'!$B$18/12</f>
        <v>58333.33333</v>
      </c>
      <c r="T5" s="49">
        <f>'P&amp;L (YEAR 1)'!$B$19*'Demand &amp; Seasonality (M)'!B11</f>
        <v>21000</v>
      </c>
      <c r="U5" s="49">
        <f>'P&amp;L (YEAR 1)'!$B$20*'Demand &amp; Seasonality (M)'!B11</f>
        <v>91791</v>
      </c>
      <c r="V5" s="49">
        <f>'P&amp;L (YEAR 1)'!$B$21/12</f>
        <v>16666.66667</v>
      </c>
      <c r="W5" s="84">
        <f t="shared" si="4"/>
        <v>3.1</v>
      </c>
      <c r="X5" s="85">
        <f t="shared" si="5"/>
        <v>1.327556381</v>
      </c>
      <c r="Y5" s="85">
        <f t="shared" si="6"/>
        <v>1.772443619</v>
      </c>
      <c r="Z5" s="84">
        <f t="shared" si="7"/>
        <v>0.5717560061</v>
      </c>
      <c r="AA5" s="49">
        <f t="shared" si="8"/>
        <v>524820.5556</v>
      </c>
    </row>
    <row r="6">
      <c r="A6" s="77" t="s">
        <v>98</v>
      </c>
      <c r="B6" s="78">
        <v>338400.0</v>
      </c>
      <c r="C6" s="78">
        <v>67680.0</v>
      </c>
      <c r="D6" s="78">
        <v>270720.0</v>
      </c>
      <c r="E6" s="78">
        <v>236880.0</v>
      </c>
      <c r="F6" s="78">
        <v>812160.0</v>
      </c>
      <c r="G6" s="78">
        <v>1049040.0</v>
      </c>
      <c r="H6" s="79">
        <f>'P&amp;L (YEAR 1)'!$B$22*'Demand &amp; Seasonality (M)'!B12</f>
        <v>423407.4667</v>
      </c>
      <c r="I6" s="79">
        <f>'P&amp;L (YEAR 1)'!$A$26*'Demand &amp; Seasonality (M)'!B12</f>
        <v>625632.5333</v>
      </c>
      <c r="J6" s="80">
        <f>B6/'MARKET SIZE ESTIMATION (Y)'!$B$15</f>
        <v>84600</v>
      </c>
      <c r="K6" s="80">
        <f>C6/'MARKET SIZE ESTIMATION (Y)'!$B$15</f>
        <v>16920</v>
      </c>
      <c r="L6" s="81">
        <f>D6/'MARKET SIZE ESTIMATION (Y)'!$B$15</f>
        <v>67680</v>
      </c>
      <c r="M6" s="82">
        <f t="shared" si="1"/>
        <v>3.5</v>
      </c>
      <c r="N6" s="83">
        <f t="shared" si="2"/>
        <v>0.2258064516</v>
      </c>
      <c r="O6" s="49">
        <f>'P&amp;L (YEAR 1)'!$B$14/12</f>
        <v>44444.44444</v>
      </c>
      <c r="P6" s="49">
        <f>'P&amp;L (YEAR 1)'!$B$15*'Demand &amp; Seasonality (M)'!B12</f>
        <v>115056</v>
      </c>
      <c r="Q6" s="49">
        <f>'P&amp;L (YEAR 1)'!$B$16*'Demand &amp; Seasonality (M)'!B12</f>
        <v>43800</v>
      </c>
      <c r="R6" s="84">
        <f t="shared" si="3"/>
        <v>21855</v>
      </c>
      <c r="S6" s="49">
        <f>'P&amp;L (YEAR 1)'!$B$18/12</f>
        <v>58333.33333</v>
      </c>
      <c r="T6" s="49">
        <f>'P&amp;L (YEAR 1)'!$B$19*'Demand &amp; Seasonality (M)'!B12</f>
        <v>24000</v>
      </c>
      <c r="U6" s="49">
        <f>'P&amp;L (YEAR 1)'!$B$20*'Demand &amp; Seasonality (M)'!B12</f>
        <v>104904</v>
      </c>
      <c r="V6" s="49">
        <f>'P&amp;L (YEAR 1)'!$B$21/12</f>
        <v>16666.66667</v>
      </c>
      <c r="W6" s="84">
        <f t="shared" si="4"/>
        <v>3.1</v>
      </c>
      <c r="X6" s="85">
        <f t="shared" si="5"/>
        <v>1.26790616</v>
      </c>
      <c r="Y6" s="85">
        <f t="shared" si="6"/>
        <v>1.83209384</v>
      </c>
      <c r="Z6" s="84">
        <f t="shared" si="7"/>
        <v>0.590998013</v>
      </c>
      <c r="AA6" s="49">
        <f t="shared" si="8"/>
        <v>619980.5556</v>
      </c>
    </row>
    <row r="7">
      <c r="A7" s="77" t="s">
        <v>99</v>
      </c>
      <c r="B7" s="78">
        <v>380700.0</v>
      </c>
      <c r="C7" s="78">
        <v>76140.0</v>
      </c>
      <c r="D7" s="78">
        <v>304560.0</v>
      </c>
      <c r="E7" s="78">
        <v>266490.0</v>
      </c>
      <c r="F7" s="78">
        <v>913680.0</v>
      </c>
      <c r="G7" s="78">
        <v>1180170.0</v>
      </c>
      <c r="H7" s="79">
        <f>'P&amp;L (YEAR 1)'!$B$22*'Demand &amp; Seasonality (M)'!B13</f>
        <v>423407.4667</v>
      </c>
      <c r="I7" s="79">
        <f>'P&amp;L (YEAR 1)'!$A$26*'Demand &amp; Seasonality (M)'!B13</f>
        <v>625632.5333</v>
      </c>
      <c r="J7" s="80">
        <f>B7/'MARKET SIZE ESTIMATION (Y)'!$B$15</f>
        <v>95175</v>
      </c>
      <c r="K7" s="80">
        <f>C7/'MARKET SIZE ESTIMATION (Y)'!$B$15</f>
        <v>19035</v>
      </c>
      <c r="L7" s="81">
        <f>D7/'MARKET SIZE ESTIMATION (Y)'!$B$15</f>
        <v>76140</v>
      </c>
      <c r="M7" s="82">
        <f t="shared" si="1"/>
        <v>3.5</v>
      </c>
      <c r="N7" s="83">
        <f t="shared" si="2"/>
        <v>0.2258064516</v>
      </c>
      <c r="O7" s="49">
        <f>'P&amp;L (YEAR 1)'!$B$14/12</f>
        <v>44444.44444</v>
      </c>
      <c r="P7" s="49">
        <f>'P&amp;L (YEAR 1)'!$B$15*'Demand &amp; Seasonality (M)'!B13</f>
        <v>115056</v>
      </c>
      <c r="Q7" s="49">
        <f>'P&amp;L (YEAR 1)'!$B$16*'Demand &amp; Seasonality (M)'!B13</f>
        <v>43800</v>
      </c>
      <c r="R7" s="84">
        <f t="shared" si="3"/>
        <v>21855</v>
      </c>
      <c r="S7" s="49">
        <f>'P&amp;L (YEAR 1)'!$B$18/12</f>
        <v>58333.33333</v>
      </c>
      <c r="T7" s="49">
        <f>'P&amp;L (YEAR 1)'!$B$19*'Demand &amp; Seasonality (M)'!B13</f>
        <v>24000</v>
      </c>
      <c r="U7" s="49">
        <f>'P&amp;L (YEAR 1)'!$B$20*'Demand &amp; Seasonality (M)'!B13</f>
        <v>104904</v>
      </c>
      <c r="V7" s="49">
        <f>'P&amp;L (YEAR 1)'!$B$21/12</f>
        <v>16666.66667</v>
      </c>
      <c r="W7" s="84">
        <f t="shared" si="4"/>
        <v>3.1</v>
      </c>
      <c r="X7" s="85">
        <f t="shared" si="5"/>
        <v>1.127027698</v>
      </c>
      <c r="Y7" s="85">
        <f t="shared" si="6"/>
        <v>1.972972302</v>
      </c>
      <c r="Z7" s="84">
        <f t="shared" si="7"/>
        <v>0.6364426782</v>
      </c>
      <c r="AA7" s="49">
        <f t="shared" si="8"/>
        <v>751110.5556</v>
      </c>
    </row>
    <row r="8">
      <c r="A8" s="77" t="s">
        <v>100</v>
      </c>
      <c r="B8" s="78">
        <v>423000.0</v>
      </c>
      <c r="C8" s="78">
        <v>84600.0</v>
      </c>
      <c r="D8" s="78">
        <v>338400.0</v>
      </c>
      <c r="E8" s="78">
        <v>296100.0</v>
      </c>
      <c r="F8" s="78">
        <v>1015200.0</v>
      </c>
      <c r="G8" s="78">
        <v>1311300.0</v>
      </c>
      <c r="H8" s="79">
        <f>'P&amp;L (YEAR 1)'!$B$22*'Demand &amp; Seasonality (M)'!B14</f>
        <v>476333.4</v>
      </c>
      <c r="I8" s="79">
        <f>'P&amp;L (YEAR 1)'!$A$26*'Demand &amp; Seasonality (M)'!B14</f>
        <v>703836.6</v>
      </c>
      <c r="J8" s="80">
        <f>B8/'MARKET SIZE ESTIMATION (Y)'!$B$15</f>
        <v>105750</v>
      </c>
      <c r="K8" s="80">
        <f>C8/'MARKET SIZE ESTIMATION (Y)'!$B$15</f>
        <v>21150</v>
      </c>
      <c r="L8" s="81">
        <f>D8/'MARKET SIZE ESTIMATION (Y)'!$B$15</f>
        <v>84600</v>
      </c>
      <c r="M8" s="82">
        <f t="shared" si="1"/>
        <v>3.5</v>
      </c>
      <c r="N8" s="83">
        <f t="shared" si="2"/>
        <v>0.2258064516</v>
      </c>
      <c r="O8" s="49">
        <f>'P&amp;L (YEAR 1)'!$B$14/12</f>
        <v>44444.44444</v>
      </c>
      <c r="P8" s="49">
        <f>'P&amp;L (YEAR 1)'!$B$15*'Demand &amp; Seasonality (M)'!B14</f>
        <v>129438</v>
      </c>
      <c r="Q8" s="49">
        <f>'P&amp;L (YEAR 1)'!$B$16*'Demand &amp; Seasonality (M)'!B14</f>
        <v>49275</v>
      </c>
      <c r="R8" s="84">
        <f t="shared" si="3"/>
        <v>21855</v>
      </c>
      <c r="S8" s="49">
        <f>'P&amp;L (YEAR 1)'!$B$18/12</f>
        <v>58333.33333</v>
      </c>
      <c r="T8" s="49">
        <f>'P&amp;L (YEAR 1)'!$B$19*'Demand &amp; Seasonality (M)'!B14</f>
        <v>27000</v>
      </c>
      <c r="U8" s="49">
        <f>'P&amp;L (YEAR 1)'!$B$20*'Demand &amp; Seasonality (M)'!B14</f>
        <v>118017</v>
      </c>
      <c r="V8" s="49">
        <f>'P&amp;L (YEAR 1)'!$B$21/12</f>
        <v>16666.66667</v>
      </c>
      <c r="W8" s="84">
        <f t="shared" si="4"/>
        <v>3.1</v>
      </c>
      <c r="X8" s="85">
        <f t="shared" si="5"/>
        <v>1.099360389</v>
      </c>
      <c r="Y8" s="85">
        <f t="shared" si="6"/>
        <v>2.000639611</v>
      </c>
      <c r="Z8" s="84">
        <f t="shared" si="7"/>
        <v>0.6453676165</v>
      </c>
      <c r="AA8" s="49">
        <f t="shared" si="8"/>
        <v>846270.5556</v>
      </c>
    </row>
    <row r="9">
      <c r="A9" s="77" t="s">
        <v>101</v>
      </c>
      <c r="B9" s="78">
        <v>507600.0</v>
      </c>
      <c r="C9" s="78">
        <v>101520.0</v>
      </c>
      <c r="D9" s="78">
        <v>406080.0</v>
      </c>
      <c r="E9" s="78">
        <v>355320.0</v>
      </c>
      <c r="F9" s="78">
        <v>1218240.0</v>
      </c>
      <c r="G9" s="78">
        <v>1573560.0</v>
      </c>
      <c r="H9" s="79">
        <f>'P&amp;L (YEAR 1)'!$B$22*'Demand &amp; Seasonality (M)'!B15</f>
        <v>635111.2</v>
      </c>
      <c r="I9" s="79">
        <f>'P&amp;L (YEAR 1)'!$A$26*'Demand &amp; Seasonality (M)'!B15</f>
        <v>938448.8</v>
      </c>
      <c r="J9" s="80">
        <f>B9/'MARKET SIZE ESTIMATION (Y)'!$B$15</f>
        <v>126900</v>
      </c>
      <c r="K9" s="80">
        <f>C9/'MARKET SIZE ESTIMATION (Y)'!$B$15</f>
        <v>25380</v>
      </c>
      <c r="L9" s="81">
        <f>D9/'MARKET SIZE ESTIMATION (Y)'!$B$15</f>
        <v>101520</v>
      </c>
      <c r="M9" s="82">
        <f t="shared" si="1"/>
        <v>3.5</v>
      </c>
      <c r="N9" s="83">
        <f t="shared" si="2"/>
        <v>0.2258064516</v>
      </c>
      <c r="O9" s="49">
        <f>'P&amp;L (YEAR 1)'!$B$14/12</f>
        <v>44444.44444</v>
      </c>
      <c r="P9" s="49">
        <f>'P&amp;L (YEAR 1)'!$B$15*'Demand &amp; Seasonality (M)'!B15</f>
        <v>172584</v>
      </c>
      <c r="Q9" s="49">
        <f>'P&amp;L (YEAR 1)'!$B$16*'Demand &amp; Seasonality (M)'!B15</f>
        <v>65700</v>
      </c>
      <c r="R9" s="84">
        <f t="shared" si="3"/>
        <v>21855</v>
      </c>
      <c r="S9" s="49">
        <f>'P&amp;L (YEAR 1)'!$B$18/12</f>
        <v>58333.33333</v>
      </c>
      <c r="T9" s="49">
        <f>'P&amp;L (YEAR 1)'!$B$19*'Demand &amp; Seasonality (M)'!B15</f>
        <v>36000</v>
      </c>
      <c r="U9" s="49">
        <f>'P&amp;L (YEAR 1)'!$B$20*'Demand &amp; Seasonality (M)'!B15</f>
        <v>157356</v>
      </c>
      <c r="V9" s="49">
        <f>'P&amp;L (YEAR 1)'!$B$21/12</f>
        <v>16666.66667</v>
      </c>
      <c r="W9" s="84">
        <f t="shared" si="4"/>
        <v>3.1</v>
      </c>
      <c r="X9" s="85">
        <f t="shared" si="5"/>
        <v>1.12872231</v>
      </c>
      <c r="Y9" s="85">
        <f t="shared" si="6"/>
        <v>1.97127769</v>
      </c>
      <c r="Z9" s="84">
        <f t="shared" si="7"/>
        <v>0.6358960291</v>
      </c>
      <c r="AA9" s="49">
        <f t="shared" si="8"/>
        <v>1000620.556</v>
      </c>
    </row>
    <row r="10">
      <c r="A10" s="77" t="s">
        <v>102</v>
      </c>
      <c r="B10" s="78">
        <v>549900.0</v>
      </c>
      <c r="C10" s="78">
        <v>109980.0</v>
      </c>
      <c r="D10" s="78">
        <v>439920.0</v>
      </c>
      <c r="E10" s="78">
        <v>384930.0</v>
      </c>
      <c r="F10" s="78">
        <v>1319760.0</v>
      </c>
      <c r="G10" s="78">
        <v>1704690.0</v>
      </c>
      <c r="H10" s="79">
        <f>'P&amp;L (YEAR 1)'!$B$22*'Demand &amp; Seasonality (M)'!B16</f>
        <v>688037.1333</v>
      </c>
      <c r="I10" s="79">
        <f>'P&amp;L (YEAR 1)'!$A$26*'Demand &amp; Seasonality (M)'!B16</f>
        <v>1016652.867</v>
      </c>
      <c r="J10" s="80">
        <f>B10/'MARKET SIZE ESTIMATION (Y)'!$B$15</f>
        <v>137475</v>
      </c>
      <c r="K10" s="80">
        <f>C10/'MARKET SIZE ESTIMATION (Y)'!$B$15</f>
        <v>27495</v>
      </c>
      <c r="L10" s="81">
        <f>D10/'MARKET SIZE ESTIMATION (Y)'!$B$15</f>
        <v>109980</v>
      </c>
      <c r="M10" s="82">
        <f t="shared" si="1"/>
        <v>3.5</v>
      </c>
      <c r="N10" s="83">
        <f t="shared" si="2"/>
        <v>0.2258064516</v>
      </c>
      <c r="O10" s="49">
        <f>'P&amp;L (YEAR 1)'!$B$14/12</f>
        <v>44444.44444</v>
      </c>
      <c r="P10" s="49">
        <f>'P&amp;L (YEAR 1)'!$B$15*'Demand &amp; Seasonality (M)'!B16</f>
        <v>186966</v>
      </c>
      <c r="Q10" s="49">
        <f>'P&amp;L (YEAR 1)'!$B$16*'Demand &amp; Seasonality (M)'!B16</f>
        <v>71175</v>
      </c>
      <c r="R10" s="84">
        <f t="shared" si="3"/>
        <v>21855</v>
      </c>
      <c r="S10" s="49">
        <f>'P&amp;L (YEAR 1)'!$B$18/12</f>
        <v>58333.33333</v>
      </c>
      <c r="T10" s="49">
        <f>'P&amp;L (YEAR 1)'!$B$19*'Demand &amp; Seasonality (M)'!B16</f>
        <v>39000</v>
      </c>
      <c r="U10" s="49">
        <f>'P&amp;L (YEAR 1)'!$B$20*'Demand &amp; Seasonality (M)'!B16</f>
        <v>170469</v>
      </c>
      <c r="V10" s="49">
        <f>'P&amp;L (YEAR 1)'!$B$21/12</f>
        <v>16666.66667</v>
      </c>
      <c r="W10" s="84">
        <f t="shared" si="4"/>
        <v>3.1</v>
      </c>
      <c r="X10" s="85">
        <f t="shared" si="5"/>
        <v>1.10730941</v>
      </c>
      <c r="Y10" s="85">
        <f t="shared" si="6"/>
        <v>1.99269059</v>
      </c>
      <c r="Z10" s="84">
        <f t="shared" si="7"/>
        <v>0.6428034162</v>
      </c>
      <c r="AA10" s="49">
        <f t="shared" si="8"/>
        <v>1095780.556</v>
      </c>
    </row>
    <row r="11">
      <c r="A11" s="77" t="s">
        <v>103</v>
      </c>
      <c r="B11" s="78">
        <v>423000.0</v>
      </c>
      <c r="C11" s="78">
        <v>84600.0</v>
      </c>
      <c r="D11" s="78">
        <v>338400.0</v>
      </c>
      <c r="E11" s="78">
        <v>296100.0</v>
      </c>
      <c r="F11" s="78">
        <v>1015200.0</v>
      </c>
      <c r="G11" s="78">
        <v>1311300.0</v>
      </c>
      <c r="H11" s="79">
        <f>'P&amp;L (YEAR 1)'!$B$22*'Demand &amp; Seasonality (M)'!B17</f>
        <v>529259.3333</v>
      </c>
      <c r="I11" s="79">
        <f>'P&amp;L (YEAR 1)'!$A$26*'Demand &amp; Seasonality (M)'!B17</f>
        <v>782040.6667</v>
      </c>
      <c r="J11" s="80">
        <f>B11/'MARKET SIZE ESTIMATION (Y)'!$B$15</f>
        <v>105750</v>
      </c>
      <c r="K11" s="80">
        <f>C11/'MARKET SIZE ESTIMATION (Y)'!$B$15</f>
        <v>21150</v>
      </c>
      <c r="L11" s="81">
        <f>D11/'MARKET SIZE ESTIMATION (Y)'!$B$15</f>
        <v>84600</v>
      </c>
      <c r="M11" s="82">
        <f t="shared" si="1"/>
        <v>3.5</v>
      </c>
      <c r="N11" s="83">
        <f t="shared" si="2"/>
        <v>0.2258064516</v>
      </c>
      <c r="O11" s="49">
        <f>'P&amp;L (YEAR 1)'!$B$14/12</f>
        <v>44444.44444</v>
      </c>
      <c r="P11" s="49">
        <f>'P&amp;L (YEAR 1)'!$B$15*'Demand &amp; Seasonality (M)'!B17</f>
        <v>143820</v>
      </c>
      <c r="Q11" s="49">
        <f>'P&amp;L (YEAR 1)'!$B$16*'Demand &amp; Seasonality (M)'!B17</f>
        <v>54750</v>
      </c>
      <c r="R11" s="84">
        <f t="shared" si="3"/>
        <v>21855</v>
      </c>
      <c r="S11" s="49">
        <f>'P&amp;L (YEAR 1)'!$B$18/12</f>
        <v>58333.33333</v>
      </c>
      <c r="T11" s="49">
        <f>'P&amp;L (YEAR 1)'!$B$19*'Demand &amp; Seasonality (M)'!B17</f>
        <v>30000</v>
      </c>
      <c r="U11" s="49">
        <f>'P&amp;L (YEAR 1)'!$B$20*'Demand &amp; Seasonality (M)'!B17</f>
        <v>131130</v>
      </c>
      <c r="V11" s="49">
        <f>'P&amp;L (YEAR 1)'!$B$21/12</f>
        <v>16666.66667</v>
      </c>
      <c r="W11" s="84">
        <f t="shared" si="4"/>
        <v>3.1</v>
      </c>
      <c r="X11" s="85">
        <f t="shared" si="5"/>
        <v>1.18439585</v>
      </c>
      <c r="Y11" s="85">
        <f t="shared" si="6"/>
        <v>1.91560415</v>
      </c>
      <c r="Z11" s="84">
        <f t="shared" si="7"/>
        <v>0.6179368227</v>
      </c>
      <c r="AA11" s="49">
        <f t="shared" si="8"/>
        <v>810300.5556</v>
      </c>
    </row>
    <row r="12">
      <c r="A12" s="77" t="s">
        <v>104</v>
      </c>
      <c r="B12" s="78">
        <v>338400.0</v>
      </c>
      <c r="C12" s="78">
        <v>67680.0</v>
      </c>
      <c r="D12" s="78">
        <v>270720.0</v>
      </c>
      <c r="E12" s="78">
        <v>236880.0</v>
      </c>
      <c r="F12" s="78">
        <v>812160.0</v>
      </c>
      <c r="G12" s="78">
        <v>1049040.0</v>
      </c>
      <c r="H12" s="79">
        <f>'P&amp;L (YEAR 1)'!$B$22*'Demand &amp; Seasonality (M)'!B18</f>
        <v>476333.4</v>
      </c>
      <c r="I12" s="79">
        <f>'P&amp;L (YEAR 1)'!$A$26*'Demand &amp; Seasonality (M)'!B18</f>
        <v>703836.6</v>
      </c>
      <c r="J12" s="80">
        <f>B12/'MARKET SIZE ESTIMATION (Y)'!$B$15</f>
        <v>84600</v>
      </c>
      <c r="K12" s="80">
        <f>C12/'MARKET SIZE ESTIMATION (Y)'!$B$15</f>
        <v>16920</v>
      </c>
      <c r="L12" s="81">
        <f>D12/'MARKET SIZE ESTIMATION (Y)'!$B$15</f>
        <v>67680</v>
      </c>
      <c r="M12" s="82">
        <f t="shared" si="1"/>
        <v>3.5</v>
      </c>
      <c r="N12" s="83">
        <f t="shared" si="2"/>
        <v>0.2258064516</v>
      </c>
      <c r="O12" s="49">
        <f>'P&amp;L (YEAR 1)'!$B$14/12</f>
        <v>44444.44444</v>
      </c>
      <c r="P12" s="49">
        <f>'P&amp;L (YEAR 1)'!$B$15*'Demand &amp; Seasonality (M)'!B18</f>
        <v>129438</v>
      </c>
      <c r="Q12" s="49">
        <f>'P&amp;L (YEAR 1)'!$B$16*'Demand &amp; Seasonality (M)'!B18</f>
        <v>49275</v>
      </c>
      <c r="R12" s="84">
        <f t="shared" si="3"/>
        <v>21855</v>
      </c>
      <c r="S12" s="49">
        <f>'P&amp;L (YEAR 1)'!$B$18/12</f>
        <v>58333.33333</v>
      </c>
      <c r="T12" s="49">
        <f>'P&amp;L (YEAR 1)'!$B$19*'Demand &amp; Seasonality (M)'!B18</f>
        <v>27000</v>
      </c>
      <c r="U12" s="49">
        <f>'P&amp;L (YEAR 1)'!$B$20*'Demand &amp; Seasonality (M)'!B18</f>
        <v>118017</v>
      </c>
      <c r="V12" s="49">
        <f>'P&amp;L (YEAR 1)'!$B$21/12</f>
        <v>16666.66667</v>
      </c>
      <c r="W12" s="84">
        <f t="shared" si="4"/>
        <v>3.1</v>
      </c>
      <c r="X12" s="85">
        <f t="shared" si="5"/>
        <v>1.374200486</v>
      </c>
      <c r="Y12" s="85">
        <f t="shared" si="6"/>
        <v>1.725799514</v>
      </c>
      <c r="Z12" s="84">
        <f t="shared" si="7"/>
        <v>0.5567095207</v>
      </c>
      <c r="AA12" s="49">
        <f t="shared" si="8"/>
        <v>584010.5556</v>
      </c>
    </row>
    <row r="13">
      <c r="A13" s="77" t="s">
        <v>105</v>
      </c>
      <c r="B13" s="78">
        <v>253800.0</v>
      </c>
      <c r="C13" s="78">
        <v>50760.0</v>
      </c>
      <c r="D13" s="78">
        <v>203040.0</v>
      </c>
      <c r="E13" s="78">
        <v>177660.0</v>
      </c>
      <c r="F13" s="78">
        <v>609120.0</v>
      </c>
      <c r="G13" s="78">
        <v>786780.0</v>
      </c>
      <c r="H13" s="79">
        <f>'P&amp;L (YEAR 1)'!$B$22*'Demand &amp; Seasonality (M)'!B19</f>
        <v>317555.6</v>
      </c>
      <c r="I13" s="79">
        <f>'P&amp;L (YEAR 1)'!$A$26*'Demand &amp; Seasonality (M)'!B19</f>
        <v>469224.4</v>
      </c>
      <c r="J13" s="80">
        <f>B13/'MARKET SIZE ESTIMATION (Y)'!$B$15</f>
        <v>63450</v>
      </c>
      <c r="K13" s="80">
        <f>C13/'MARKET SIZE ESTIMATION (Y)'!$B$15</f>
        <v>12690</v>
      </c>
      <c r="L13" s="81">
        <f>D13/'MARKET SIZE ESTIMATION (Y)'!$B$15</f>
        <v>50760</v>
      </c>
      <c r="M13" s="82">
        <f t="shared" si="1"/>
        <v>3.5</v>
      </c>
      <c r="N13" s="83">
        <f t="shared" si="2"/>
        <v>0.2258064516</v>
      </c>
      <c r="O13" s="49">
        <f>'P&amp;L (YEAR 1)'!$B$14/12</f>
        <v>44444.44444</v>
      </c>
      <c r="P13" s="49">
        <f>'P&amp;L (YEAR 1)'!$B$15*'Demand &amp; Seasonality (M)'!B19</f>
        <v>86292</v>
      </c>
      <c r="Q13" s="49">
        <f>'P&amp;L (YEAR 1)'!$B$16*'Demand &amp; Seasonality (M)'!B19</f>
        <v>32850</v>
      </c>
      <c r="R13" s="84">
        <f t="shared" si="3"/>
        <v>21855</v>
      </c>
      <c r="S13" s="49">
        <f>'P&amp;L (YEAR 1)'!$B$18/12</f>
        <v>58333.33333</v>
      </c>
      <c r="T13" s="49">
        <f>'P&amp;L (YEAR 1)'!$B$19*'Demand &amp; Seasonality (M)'!B19</f>
        <v>18000</v>
      </c>
      <c r="U13" s="49">
        <f>'P&amp;L (YEAR 1)'!$B$20*'Demand &amp; Seasonality (M)'!B19</f>
        <v>78678</v>
      </c>
      <c r="V13" s="49">
        <f>'P&amp;L (YEAR 1)'!$B$21/12</f>
        <v>16666.66667</v>
      </c>
      <c r="W13" s="84">
        <f t="shared" si="4"/>
        <v>3.1</v>
      </c>
      <c r="X13" s="85">
        <f t="shared" si="5"/>
        <v>1.40709001</v>
      </c>
      <c r="Y13" s="85">
        <f t="shared" si="6"/>
        <v>1.69290999</v>
      </c>
      <c r="Z13" s="84">
        <f t="shared" si="7"/>
        <v>0.5460999969</v>
      </c>
      <c r="AA13" s="49">
        <f t="shared" si="8"/>
        <v>429660.5556</v>
      </c>
    </row>
    <row r="14">
      <c r="A14" s="77" t="s">
        <v>106</v>
      </c>
      <c r="B14" s="78">
        <v>211500.0</v>
      </c>
      <c r="C14" s="78">
        <v>42300.0</v>
      </c>
      <c r="D14" s="78">
        <v>169200.0</v>
      </c>
      <c r="E14" s="78">
        <v>148050.0</v>
      </c>
      <c r="F14" s="78">
        <v>507600.0</v>
      </c>
      <c r="G14" s="78">
        <v>655650.0</v>
      </c>
      <c r="H14" s="79">
        <f>'P&amp;L (YEAR 1)'!$B$22*'Demand &amp; Seasonality (M)'!B20</f>
        <v>317555.6</v>
      </c>
      <c r="I14" s="79">
        <f>'P&amp;L (YEAR 1)'!$A$26*'Demand &amp; Seasonality (M)'!B20</f>
        <v>469224.4</v>
      </c>
      <c r="J14" s="80">
        <f>B14/'MARKET SIZE ESTIMATION (Y)'!$B$15</f>
        <v>52875</v>
      </c>
      <c r="K14" s="80">
        <f>C14/'MARKET SIZE ESTIMATION (Y)'!$B$15</f>
        <v>10575</v>
      </c>
      <c r="L14" s="81">
        <f>D14/'MARKET SIZE ESTIMATION (Y)'!$B$15</f>
        <v>42300</v>
      </c>
      <c r="M14" s="82">
        <f t="shared" si="1"/>
        <v>3.5</v>
      </c>
      <c r="N14" s="83">
        <f t="shared" si="2"/>
        <v>0.2258064516</v>
      </c>
      <c r="O14" s="49">
        <f>'P&amp;L (YEAR 1)'!$B$14/12</f>
        <v>44444.44444</v>
      </c>
      <c r="P14" s="49">
        <f>'P&amp;L (YEAR 1)'!$B$15*'Demand &amp; Seasonality (M)'!B20</f>
        <v>86292</v>
      </c>
      <c r="Q14" s="49">
        <f>'P&amp;L (YEAR 1)'!$B$16*'Demand &amp; Seasonality (M)'!B20</f>
        <v>32850</v>
      </c>
      <c r="R14" s="84">
        <f t="shared" si="3"/>
        <v>21855</v>
      </c>
      <c r="S14" s="49">
        <f>'P&amp;L (YEAR 1)'!$B$18/12</f>
        <v>58333.33333</v>
      </c>
      <c r="T14" s="49">
        <f>'P&amp;L (YEAR 1)'!$B$19*'Demand &amp; Seasonality (M)'!B20</f>
        <v>18000</v>
      </c>
      <c r="U14" s="49">
        <f>'P&amp;L (YEAR 1)'!$B$20*'Demand &amp; Seasonality (M)'!B20</f>
        <v>78678</v>
      </c>
      <c r="V14" s="49">
        <f>'P&amp;L (YEAR 1)'!$B$21/12</f>
        <v>16666.66667</v>
      </c>
      <c r="W14" s="84">
        <f t="shared" si="4"/>
        <v>3.1</v>
      </c>
      <c r="X14" s="85">
        <f t="shared" si="5"/>
        <v>1.688508012</v>
      </c>
      <c r="Y14" s="85">
        <f t="shared" si="6"/>
        <v>1.411491988</v>
      </c>
      <c r="Z14" s="84">
        <f t="shared" si="7"/>
        <v>0.4553199963</v>
      </c>
      <c r="AA14" s="49">
        <f t="shared" si="8"/>
        <v>298530.5556</v>
      </c>
    </row>
    <row r="21">
      <c r="E21" s="86"/>
    </row>
    <row r="23">
      <c r="E23" s="70" t="s">
        <v>124</v>
      </c>
      <c r="F23" s="70" t="s">
        <v>58</v>
      </c>
      <c r="J23" s="70" t="s">
        <v>124</v>
      </c>
      <c r="K23" s="70" t="s">
        <v>58</v>
      </c>
    </row>
    <row r="24">
      <c r="E24" s="59" t="s">
        <v>118</v>
      </c>
      <c r="F24" s="59" t="s">
        <v>125</v>
      </c>
      <c r="J24" s="59" t="s">
        <v>126</v>
      </c>
      <c r="K24" s="59" t="s">
        <v>127</v>
      </c>
    </row>
    <row r="25">
      <c r="E25" s="59" t="s">
        <v>128</v>
      </c>
      <c r="F25" s="59" t="s">
        <v>129</v>
      </c>
      <c r="J25" s="59" t="s">
        <v>130</v>
      </c>
      <c r="K25" s="59" t="s">
        <v>131</v>
      </c>
    </row>
    <row r="26">
      <c r="E26" s="59" t="s">
        <v>132</v>
      </c>
      <c r="F26" s="59" t="s">
        <v>133</v>
      </c>
      <c r="J26" s="59" t="s">
        <v>134</v>
      </c>
      <c r="K26" s="59" t="s">
        <v>135</v>
      </c>
    </row>
    <row r="27">
      <c r="J27" s="59" t="s">
        <v>79</v>
      </c>
      <c r="K27" s="59" t="s">
        <v>136</v>
      </c>
    </row>
    <row r="43">
      <c r="O43" s="87"/>
      <c r="P43" s="87"/>
      <c r="Q43" s="8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</row>
    <row r="2">
      <c r="A2" s="3"/>
      <c r="B2" s="2"/>
    </row>
    <row r="3">
      <c r="A3" s="4"/>
      <c r="B3" s="2"/>
    </row>
    <row r="4">
      <c r="A4" s="4"/>
      <c r="B4" s="2"/>
    </row>
    <row r="5">
      <c r="A5" s="5" t="s">
        <v>137</v>
      </c>
      <c r="B5" s="2"/>
    </row>
    <row r="7">
      <c r="A7" s="88"/>
      <c r="B7" s="89"/>
      <c r="C7" s="90"/>
      <c r="D7" s="90"/>
      <c r="E7" s="89"/>
      <c r="F7" s="89"/>
      <c r="G7" s="89"/>
      <c r="H7" s="90"/>
      <c r="I7" s="89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</row>
    <row r="9">
      <c r="A9" s="91" t="s">
        <v>108</v>
      </c>
      <c r="B9" s="2"/>
      <c r="C9" s="1"/>
      <c r="D9" s="1"/>
      <c r="E9" s="2"/>
      <c r="F9" s="2"/>
      <c r="H9" s="91" t="s">
        <v>109</v>
      </c>
      <c r="I9" s="1"/>
      <c r="J9" s="1"/>
      <c r="K9" s="2"/>
      <c r="L9" s="2"/>
      <c r="O9" s="91" t="s">
        <v>87</v>
      </c>
      <c r="P9" s="1"/>
      <c r="Q9" s="2"/>
      <c r="R9" s="2"/>
      <c r="S9" s="92"/>
      <c r="T9" s="2"/>
      <c r="U9" s="1"/>
      <c r="V9" s="1"/>
      <c r="W9" s="2"/>
    </row>
    <row r="10">
      <c r="A10" s="93" t="s">
        <v>53</v>
      </c>
      <c r="H10" s="94" t="s">
        <v>53</v>
      </c>
      <c r="O10" s="94" t="s">
        <v>53</v>
      </c>
    </row>
    <row r="11">
      <c r="A11" s="95">
        <f>SUM('Subscription KPIs &amp; Unit Econom'!B3:B14)</f>
        <v>4230000</v>
      </c>
      <c r="H11" s="95">
        <f>SUM('Subscription KPIs &amp; Unit Econom'!D3:D14)</f>
        <v>3384000</v>
      </c>
      <c r="O11" s="95">
        <f>SUM('Subscription KPIs &amp; Unit Econom'!C3:C14)</f>
        <v>846000</v>
      </c>
    </row>
    <row r="12">
      <c r="A12" s="59"/>
    </row>
    <row r="13">
      <c r="A13" s="59"/>
    </row>
    <row r="14">
      <c r="A14" s="59"/>
    </row>
    <row r="15">
      <c r="A15" s="59"/>
    </row>
    <row r="16">
      <c r="A16" s="59"/>
    </row>
    <row r="17">
      <c r="A17" s="59"/>
    </row>
    <row r="18">
      <c r="A18" s="59"/>
    </row>
    <row r="19">
      <c r="A19" s="59"/>
    </row>
    <row r="20">
      <c r="A20" s="59"/>
    </row>
    <row r="21">
      <c r="A21" s="59"/>
    </row>
    <row r="22">
      <c r="A22" s="59"/>
    </row>
    <row r="23">
      <c r="A23" s="59"/>
    </row>
    <row r="24">
      <c r="A24" s="59"/>
    </row>
    <row r="25">
      <c r="A25" s="59"/>
    </row>
    <row r="26">
      <c r="A26" s="59"/>
    </row>
    <row r="27">
      <c r="A27" s="59"/>
    </row>
    <row r="33">
      <c r="A33" s="88"/>
      <c r="B33" s="89"/>
      <c r="C33" s="90"/>
      <c r="D33" s="90"/>
      <c r="E33" s="89"/>
      <c r="F33" s="89"/>
      <c r="G33" s="89"/>
      <c r="H33" s="90"/>
      <c r="I33" s="89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</row>
    <row r="35">
      <c r="A35" s="91" t="s">
        <v>40</v>
      </c>
      <c r="B35" s="2"/>
      <c r="C35" s="1"/>
      <c r="D35" s="1"/>
      <c r="E35" s="2"/>
      <c r="F35" s="2"/>
      <c r="H35" s="91" t="s">
        <v>138</v>
      </c>
      <c r="I35" s="1"/>
      <c r="J35" s="1"/>
      <c r="K35" s="2"/>
      <c r="L35" s="2"/>
      <c r="O35" s="91" t="s">
        <v>41</v>
      </c>
      <c r="P35" s="1"/>
      <c r="Q35" s="2"/>
      <c r="R35" s="2"/>
      <c r="S35" s="92"/>
      <c r="T35" s="2"/>
      <c r="U35" s="1"/>
      <c r="V35" s="1"/>
      <c r="W35" s="2"/>
    </row>
    <row r="36">
      <c r="A36" s="94" t="s">
        <v>53</v>
      </c>
      <c r="H36" s="94" t="s">
        <v>53</v>
      </c>
      <c r="O36" s="94" t="s">
        <v>53</v>
      </c>
    </row>
    <row r="37">
      <c r="A37" s="95">
        <f>SUM('Subscription KPIs &amp; Unit Econom'!G3:G14)</f>
        <v>13113000</v>
      </c>
      <c r="H37" s="95">
        <f>SUM('Subscription KPIs &amp; Unit Econom'!F3:F14)</f>
        <v>10152000</v>
      </c>
      <c r="O37" s="95">
        <f>SUM('Subscription KPIs &amp; Unit Econom'!E3:E14)</f>
        <v>2961000</v>
      </c>
    </row>
    <row r="59">
      <c r="A59" s="88"/>
      <c r="B59" s="89"/>
      <c r="C59" s="90"/>
      <c r="D59" s="90"/>
      <c r="E59" s="89"/>
      <c r="F59" s="89"/>
      <c r="G59" s="89"/>
      <c r="H59" s="90"/>
      <c r="I59" s="89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</row>
    <row r="63">
      <c r="A63" s="91" t="s">
        <v>139</v>
      </c>
      <c r="B63" s="2"/>
      <c r="C63" s="1"/>
      <c r="D63" s="1"/>
      <c r="E63" s="2"/>
      <c r="F63" s="2"/>
      <c r="H63" s="91" t="s">
        <v>140</v>
      </c>
      <c r="I63" s="1"/>
      <c r="O63" s="91" t="s">
        <v>141</v>
      </c>
    </row>
    <row r="64">
      <c r="A64" s="94" t="s">
        <v>53</v>
      </c>
      <c r="H64" s="94"/>
      <c r="O64" s="94" t="s">
        <v>53</v>
      </c>
    </row>
    <row r="65">
      <c r="A65" s="95">
        <f>SUM('Subscription KPIs &amp; Unit Econom'!AA3:AA14)</f>
        <v>7820406.667</v>
      </c>
      <c r="H65" s="95"/>
      <c r="O65" s="95">
        <f>SUM('Subscription KPIs &amp; Unit Econom'!J3:J14)</f>
        <v>1057500</v>
      </c>
    </row>
    <row r="82">
      <c r="A82" s="59" t="s">
        <v>142</v>
      </c>
    </row>
    <row r="83">
      <c r="A83" s="59"/>
    </row>
    <row r="84">
      <c r="A84" s="59"/>
    </row>
    <row r="85">
      <c r="A85" s="59"/>
    </row>
    <row r="86">
      <c r="A86" s="59"/>
    </row>
    <row r="87">
      <c r="A87" s="59"/>
    </row>
    <row r="88">
      <c r="A88" s="59"/>
    </row>
    <row r="89">
      <c r="A89" s="59"/>
    </row>
    <row r="90">
      <c r="A90" s="59"/>
    </row>
    <row r="91">
      <c r="A91" s="59"/>
    </row>
    <row r="92">
      <c r="A92" s="59"/>
    </row>
    <row r="93">
      <c r="A93" s="59"/>
    </row>
    <row r="94">
      <c r="A94" s="59"/>
    </row>
    <row r="95">
      <c r="A95" s="59"/>
    </row>
    <row r="96">
      <c r="A96" s="59"/>
    </row>
    <row r="97">
      <c r="A97" s="59"/>
    </row>
    <row r="98">
      <c r="A98" s="59"/>
    </row>
    <row r="104">
      <c r="B104" s="96"/>
    </row>
    <row r="105">
      <c r="B105" s="96"/>
    </row>
    <row r="106">
      <c r="B106" s="96"/>
    </row>
    <row r="107">
      <c r="B107" s="96"/>
    </row>
    <row r="108">
      <c r="B108" s="96"/>
    </row>
    <row r="109">
      <c r="B109" s="96"/>
    </row>
    <row r="110">
      <c r="B110" s="96"/>
    </row>
  </sheetData>
  <drawing r:id="rId1"/>
</worksheet>
</file>