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12900" windowHeight="6150" tabRatio="500"/>
  </bookViews>
  <sheets>
    <sheet name="Sheet1" sheetId="1" r:id="rId1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" l="1"/>
  <c r="G27" i="1"/>
  <c r="G31" i="1"/>
  <c r="H31" i="1" s="1"/>
  <c r="I31" i="1" s="1"/>
  <c r="H28" i="1"/>
  <c r="H27" i="1" s="1"/>
  <c r="G32" i="1"/>
  <c r="G33" i="1" s="1"/>
  <c r="H33" i="1" s="1"/>
  <c r="G34" i="1"/>
  <c r="G35" i="1" s="1"/>
  <c r="H35" i="1" s="1"/>
  <c r="G40" i="1"/>
  <c r="H40" i="1"/>
  <c r="I40" i="1" s="1"/>
  <c r="J40" i="1" s="1"/>
  <c r="G48" i="1"/>
  <c r="G49" i="1" s="1"/>
  <c r="H49" i="1" s="1"/>
  <c r="G57" i="1"/>
  <c r="G58" i="1" s="1"/>
  <c r="H58" i="1" s="1"/>
  <c r="H52" i="1"/>
  <c r="I52" i="1"/>
  <c r="J52" i="1" s="1"/>
  <c r="K52" i="1" s="1"/>
  <c r="L52" i="1" s="1"/>
  <c r="D85" i="1"/>
  <c r="K82" i="1" s="1"/>
  <c r="O96" i="1" s="1"/>
  <c r="H85" i="1"/>
  <c r="H92" i="1"/>
  <c r="H84" i="1"/>
  <c r="H91" i="1"/>
  <c r="H83" i="1"/>
  <c r="H90" i="1"/>
  <c r="I82" i="1"/>
  <c r="H30" i="1"/>
  <c r="C71" i="1"/>
  <c r="H26" i="1"/>
  <c r="N85" i="1"/>
  <c r="C70" i="1"/>
  <c r="N84" i="1"/>
  <c r="C69" i="1"/>
  <c r="N83" i="1"/>
  <c r="C108" i="1"/>
  <c r="Q97" i="1"/>
  <c r="P97" i="1"/>
  <c r="O97" i="1"/>
  <c r="M97" i="1"/>
  <c r="L97" i="1"/>
  <c r="K97" i="1"/>
  <c r="I97" i="1"/>
  <c r="H97" i="1"/>
  <c r="G97" i="1"/>
  <c r="G96" i="1"/>
  <c r="K89" i="1"/>
  <c r="J89" i="1"/>
  <c r="I89" i="1"/>
  <c r="D83" i="1"/>
  <c r="Q82" i="1"/>
  <c r="P82" i="1"/>
  <c r="O82" i="1"/>
  <c r="C76" i="1"/>
  <c r="C75" i="1"/>
  <c r="C74" i="1"/>
  <c r="G36" i="1"/>
  <c r="G39" i="1" s="1"/>
  <c r="G41" i="1" s="1"/>
  <c r="G42" i="1" s="1"/>
  <c r="G44" i="1"/>
  <c r="G45" i="1" s="1"/>
  <c r="G46" i="1"/>
  <c r="G47" i="1" s="1"/>
  <c r="H53" i="1"/>
  <c r="G53" i="1"/>
  <c r="G51" i="1"/>
  <c r="G19" i="1"/>
  <c r="G18" i="1"/>
  <c r="I35" i="1" l="1"/>
  <c r="J35" i="1" s="1"/>
  <c r="K35" i="1" s="1"/>
  <c r="L35" i="1" s="1"/>
  <c r="M35" i="1" s="1"/>
  <c r="N35" i="1" s="1"/>
  <c r="O35" i="1" s="1"/>
  <c r="P35" i="1" s="1"/>
  <c r="Q35" i="1" s="1"/>
  <c r="H34" i="1"/>
  <c r="H46" i="1" s="1"/>
  <c r="H47" i="1" s="1"/>
  <c r="G37" i="1"/>
  <c r="I26" i="1"/>
  <c r="J26" i="1" s="1"/>
  <c r="C107" i="1"/>
  <c r="K26" i="1"/>
  <c r="H57" i="1"/>
  <c r="I58" i="1"/>
  <c r="I49" i="1"/>
  <c r="H48" i="1"/>
  <c r="J31" i="1"/>
  <c r="G54" i="1"/>
  <c r="G55" i="1" s="1"/>
  <c r="M52" i="1"/>
  <c r="K40" i="1"/>
  <c r="H32" i="1"/>
  <c r="H44" i="1" s="1"/>
  <c r="H45" i="1" s="1"/>
  <c r="I33" i="1"/>
  <c r="J82" i="1"/>
  <c r="K96" i="1" s="1"/>
  <c r="I28" i="1"/>
  <c r="C109" i="1"/>
  <c r="H67" i="1"/>
  <c r="I67" i="1" s="1"/>
  <c r="J67" i="1" s="1"/>
  <c r="J33" i="1" l="1"/>
  <c r="J58" i="1"/>
  <c r="N52" i="1"/>
  <c r="H50" i="1"/>
  <c r="H51" i="1" s="1"/>
  <c r="J28" i="1"/>
  <c r="I27" i="1"/>
  <c r="I57" i="1" s="1"/>
  <c r="I48" i="1"/>
  <c r="J49" i="1"/>
  <c r="K67" i="1"/>
  <c r="L26" i="1"/>
  <c r="L40" i="1"/>
  <c r="K31" i="1"/>
  <c r="H36" i="1"/>
  <c r="I50" i="1" l="1"/>
  <c r="I51" i="1" s="1"/>
  <c r="H39" i="1"/>
  <c r="H41" i="1" s="1"/>
  <c r="H37" i="1"/>
  <c r="M40" i="1"/>
  <c r="K49" i="1"/>
  <c r="K58" i="1"/>
  <c r="I34" i="1"/>
  <c r="I46" i="1" s="1"/>
  <c r="I47" i="1" s="1"/>
  <c r="I53" i="1"/>
  <c r="I30" i="1"/>
  <c r="K33" i="1"/>
  <c r="M26" i="1"/>
  <c r="L67" i="1"/>
  <c r="L31" i="1"/>
  <c r="K28" i="1"/>
  <c r="J27" i="1"/>
  <c r="J48" i="1" s="1"/>
  <c r="O52" i="1"/>
  <c r="I32" i="1"/>
  <c r="I44" i="1" s="1"/>
  <c r="I45" i="1" s="1"/>
  <c r="J32" i="1" l="1"/>
  <c r="J44" i="1" s="1"/>
  <c r="J45" i="1" s="1"/>
  <c r="J34" i="1"/>
  <c r="J46" i="1" s="1"/>
  <c r="J47" i="1" s="1"/>
  <c r="J53" i="1"/>
  <c r="J30" i="1"/>
  <c r="P52" i="1"/>
  <c r="M31" i="1"/>
  <c r="L33" i="1"/>
  <c r="L58" i="1"/>
  <c r="H54" i="1"/>
  <c r="H42" i="1"/>
  <c r="I36" i="1"/>
  <c r="J57" i="1"/>
  <c r="N40" i="1"/>
  <c r="K27" i="1"/>
  <c r="K57" i="1" s="1"/>
  <c r="L28" i="1"/>
  <c r="N26" i="1"/>
  <c r="M67" i="1"/>
  <c r="K48" i="1"/>
  <c r="L49" i="1"/>
  <c r="J36" i="1" l="1"/>
  <c r="M49" i="1"/>
  <c r="L48" i="1"/>
  <c r="L27" i="1"/>
  <c r="M28" i="1"/>
  <c r="K50" i="1"/>
  <c r="K51" i="1" s="1"/>
  <c r="J50" i="1"/>
  <c r="J51" i="1" s="1"/>
  <c r="N31" i="1"/>
  <c r="J37" i="1"/>
  <c r="J39" i="1"/>
  <c r="J41" i="1" s="1"/>
  <c r="I37" i="1"/>
  <c r="I39" i="1"/>
  <c r="I41" i="1" s="1"/>
  <c r="L57" i="1"/>
  <c r="M58" i="1"/>
  <c r="K34" i="1"/>
  <c r="K46" i="1" s="1"/>
  <c r="K47" i="1" s="1"/>
  <c r="K53" i="1"/>
  <c r="K30" i="1"/>
  <c r="O40" i="1"/>
  <c r="K32" i="1"/>
  <c r="K44" i="1" s="1"/>
  <c r="K45" i="1" s="1"/>
  <c r="N67" i="1"/>
  <c r="O26" i="1"/>
  <c r="H69" i="1"/>
  <c r="H71" i="1"/>
  <c r="H70" i="1"/>
  <c r="H55" i="1"/>
  <c r="L32" i="1"/>
  <c r="L44" i="1" s="1"/>
  <c r="L45" i="1" s="1"/>
  <c r="M33" i="1"/>
  <c r="Q52" i="1"/>
  <c r="I54" i="1" l="1"/>
  <c r="I42" i="1"/>
  <c r="J54" i="1"/>
  <c r="J42" i="1"/>
  <c r="K36" i="1"/>
  <c r="L34" i="1"/>
  <c r="L46" i="1" s="1"/>
  <c r="L47" i="1" s="1"/>
  <c r="L53" i="1"/>
  <c r="L30" i="1"/>
  <c r="L36" i="1" s="1"/>
  <c r="N49" i="1"/>
  <c r="N33" i="1"/>
  <c r="P26" i="1"/>
  <c r="O67" i="1"/>
  <c r="P40" i="1"/>
  <c r="N58" i="1"/>
  <c r="O31" i="1"/>
  <c r="N28" i="1"/>
  <c r="M27" i="1"/>
  <c r="L50" i="1"/>
  <c r="L51" i="1" s="1"/>
  <c r="P31" i="1" l="1"/>
  <c r="Q40" i="1"/>
  <c r="O33" i="1"/>
  <c r="M34" i="1"/>
  <c r="M46" i="1" s="1"/>
  <c r="M47" i="1" s="1"/>
  <c r="M53" i="1"/>
  <c r="M30" i="1"/>
  <c r="J70" i="1"/>
  <c r="J71" i="1"/>
  <c r="J69" i="1"/>
  <c r="J55" i="1"/>
  <c r="M57" i="1"/>
  <c r="N27" i="1"/>
  <c r="N48" i="1" s="1"/>
  <c r="O28" i="1"/>
  <c r="O58" i="1"/>
  <c r="L37" i="1"/>
  <c r="L39" i="1"/>
  <c r="L41" i="1" s="1"/>
  <c r="K37" i="1"/>
  <c r="K39" i="1"/>
  <c r="K41" i="1" s="1"/>
  <c r="Q26" i="1"/>
  <c r="P67" i="1"/>
  <c r="O49" i="1"/>
  <c r="M32" i="1"/>
  <c r="M44" i="1" s="1"/>
  <c r="M45" i="1" s="1"/>
  <c r="M48" i="1"/>
  <c r="I70" i="1"/>
  <c r="I55" i="1"/>
  <c r="I71" i="1"/>
  <c r="I69" i="1"/>
  <c r="Q67" i="1" l="1"/>
  <c r="D82" i="1" s="1"/>
  <c r="K54" i="1"/>
  <c r="K42" i="1"/>
  <c r="P28" i="1"/>
  <c r="O27" i="1"/>
  <c r="O48" i="1"/>
  <c r="P49" i="1"/>
  <c r="L54" i="1"/>
  <c r="L42" i="1"/>
  <c r="N34" i="1"/>
  <c r="N46" i="1" s="1"/>
  <c r="N47" i="1" s="1"/>
  <c r="N53" i="1"/>
  <c r="N30" i="1"/>
  <c r="P58" i="1"/>
  <c r="O57" i="1"/>
  <c r="M50" i="1"/>
  <c r="M51" i="1" s="1"/>
  <c r="N32" i="1"/>
  <c r="N44" i="1" s="1"/>
  <c r="N45" i="1" s="1"/>
  <c r="N57" i="1"/>
  <c r="M36" i="1"/>
  <c r="O32" i="1"/>
  <c r="O44" i="1" s="1"/>
  <c r="O45" i="1" s="1"/>
  <c r="P33" i="1"/>
  <c r="Q31" i="1"/>
  <c r="N36" i="1" l="1"/>
  <c r="L71" i="1"/>
  <c r="L69" i="1"/>
  <c r="L70" i="1"/>
  <c r="L55" i="1"/>
  <c r="P27" i="1"/>
  <c r="Q28" i="1"/>
  <c r="Q33" i="1"/>
  <c r="P57" i="1"/>
  <c r="Q58" i="1"/>
  <c r="Q49" i="1"/>
  <c r="M37" i="1"/>
  <c r="M39" i="1"/>
  <c r="M41" i="1" s="1"/>
  <c r="O50" i="1"/>
  <c r="O51" i="1" s="1"/>
  <c r="N50" i="1"/>
  <c r="N51" i="1" s="1"/>
  <c r="O34" i="1"/>
  <c r="O46" i="1" s="1"/>
  <c r="O47" i="1" s="1"/>
  <c r="O53" i="1"/>
  <c r="O30" i="1"/>
  <c r="O36" i="1" s="1"/>
  <c r="K71" i="1"/>
  <c r="K69" i="1"/>
  <c r="K70" i="1"/>
  <c r="K55" i="1"/>
  <c r="Q27" i="1" l="1"/>
  <c r="P34" i="1"/>
  <c r="P46" i="1" s="1"/>
  <c r="P47" i="1" s="1"/>
  <c r="P53" i="1"/>
  <c r="P30" i="1"/>
  <c r="O37" i="1"/>
  <c r="O39" i="1"/>
  <c r="O41" i="1" s="1"/>
  <c r="M54" i="1"/>
  <c r="M42" i="1"/>
  <c r="P48" i="1"/>
  <c r="P32" i="1"/>
  <c r="P44" i="1" s="1"/>
  <c r="P45" i="1" s="1"/>
  <c r="N37" i="1"/>
  <c r="N39" i="1"/>
  <c r="N41" i="1" s="1"/>
  <c r="Q48" i="1"/>
  <c r="Q32" i="1"/>
  <c r="Q44" i="1" s="1"/>
  <c r="Q45" i="1" s="1"/>
  <c r="P50" i="1"/>
  <c r="P51" i="1" s="1"/>
  <c r="N54" i="1" l="1"/>
  <c r="N42" i="1"/>
  <c r="O54" i="1"/>
  <c r="O42" i="1"/>
  <c r="M70" i="1"/>
  <c r="M69" i="1"/>
  <c r="M55" i="1"/>
  <c r="M71" i="1"/>
  <c r="P36" i="1"/>
  <c r="Q34" i="1"/>
  <c r="Q46" i="1" s="1"/>
  <c r="Q47" i="1" s="1"/>
  <c r="Q53" i="1"/>
  <c r="Q30" i="1"/>
  <c r="Q57" i="1"/>
  <c r="Q50" i="1" s="1"/>
  <c r="Q51" i="1" s="1"/>
  <c r="D80" i="1" l="1"/>
  <c r="Q36" i="1"/>
  <c r="O71" i="1"/>
  <c r="O69" i="1"/>
  <c r="O70" i="1"/>
  <c r="O55" i="1"/>
  <c r="P37" i="1"/>
  <c r="P39" i="1"/>
  <c r="P41" i="1" s="1"/>
  <c r="N71" i="1"/>
  <c r="N69" i="1"/>
  <c r="N70" i="1"/>
  <c r="N55" i="1"/>
  <c r="P54" i="1" l="1"/>
  <c r="P42" i="1"/>
  <c r="Q37" i="1"/>
  <c r="Q39" i="1"/>
  <c r="Q41" i="1" s="1"/>
  <c r="Q54" i="1" l="1"/>
  <c r="Q42" i="1"/>
  <c r="P71" i="1"/>
  <c r="P70" i="1"/>
  <c r="P69" i="1"/>
  <c r="P55" i="1"/>
  <c r="D81" i="1" l="1"/>
  <c r="Q70" i="1"/>
  <c r="G75" i="1" s="1"/>
  <c r="Q69" i="1"/>
  <c r="G74" i="1" s="1"/>
  <c r="Q55" i="1"/>
  <c r="Q71" i="1"/>
  <c r="G76" i="1" s="1"/>
  <c r="O99" i="1" l="1"/>
  <c r="K99" i="1"/>
  <c r="G99" i="1"/>
  <c r="H99" i="1"/>
  <c r="L99" i="1"/>
  <c r="P99" i="1"/>
  <c r="Q99" i="1"/>
  <c r="I99" i="1"/>
  <c r="M99" i="1"/>
  <c r="K85" i="1"/>
  <c r="J85" i="1"/>
  <c r="I83" i="1"/>
  <c r="J83" i="1"/>
  <c r="I84" i="1"/>
  <c r="J84" i="1"/>
  <c r="K84" i="1"/>
  <c r="K83" i="1"/>
  <c r="I85" i="1"/>
  <c r="K91" i="1" l="1"/>
  <c r="P110" i="1" s="1"/>
  <c r="Q84" i="1"/>
  <c r="P100" i="1" s="1"/>
  <c r="P101" i="1" s="1"/>
  <c r="P103" i="1" s="1"/>
  <c r="I90" i="1"/>
  <c r="G110" i="1" s="1"/>
  <c r="O83" i="1"/>
  <c r="G100" i="1" s="1"/>
  <c r="G101" i="1" s="1"/>
  <c r="G103" i="1" s="1"/>
  <c r="J92" i="1"/>
  <c r="M110" i="1" s="1"/>
  <c r="P85" i="1"/>
  <c r="M100" i="1" s="1"/>
  <c r="M101" i="1" s="1"/>
  <c r="M103" i="1" s="1"/>
  <c r="I92" i="1"/>
  <c r="I110" i="1" s="1"/>
  <c r="O85" i="1"/>
  <c r="I100" i="1" s="1"/>
  <c r="K92" i="1"/>
  <c r="Q110" i="1" s="1"/>
  <c r="Q85" i="1"/>
  <c r="Q100" i="1" s="1"/>
  <c r="Q101" i="1" s="1"/>
  <c r="J91" i="1"/>
  <c r="L110" i="1" s="1"/>
  <c r="P84" i="1"/>
  <c r="L100" i="1" s="1"/>
  <c r="I91" i="1"/>
  <c r="H110" i="1" s="1"/>
  <c r="O84" i="1"/>
  <c r="H100" i="1" s="1"/>
  <c r="H101" i="1" s="1"/>
  <c r="K90" i="1"/>
  <c r="O110" i="1" s="1"/>
  <c r="Q83" i="1"/>
  <c r="O100" i="1" s="1"/>
  <c r="O101" i="1" s="1"/>
  <c r="O103" i="1" s="1"/>
  <c r="J90" i="1"/>
  <c r="K110" i="1" s="1"/>
  <c r="P83" i="1"/>
  <c r="K100" i="1" s="1"/>
  <c r="L101" i="1"/>
  <c r="H109" i="1" l="1"/>
  <c r="H108" i="1"/>
  <c r="H106" i="1"/>
  <c r="H107" i="1"/>
  <c r="H103" i="1"/>
  <c r="Q109" i="1"/>
  <c r="Q107" i="1"/>
  <c r="Q108" i="1"/>
  <c r="Q106" i="1"/>
  <c r="Q103" i="1"/>
  <c r="L109" i="1"/>
  <c r="L107" i="1"/>
  <c r="L108" i="1"/>
  <c r="L106" i="1"/>
  <c r="J18" i="1"/>
  <c r="J19" i="1"/>
  <c r="J17" i="1"/>
  <c r="O104" i="1"/>
  <c r="L104" i="1"/>
  <c r="G104" i="1"/>
  <c r="O109" i="1"/>
  <c r="O108" i="1"/>
  <c r="O106" i="1"/>
  <c r="O107" i="1"/>
  <c r="M109" i="1"/>
  <c r="M108" i="1"/>
  <c r="M106" i="1"/>
  <c r="M107" i="1"/>
  <c r="P108" i="1"/>
  <c r="P107" i="1"/>
  <c r="P109" i="1"/>
  <c r="P106" i="1"/>
  <c r="L103" i="1"/>
  <c r="H104" i="1"/>
  <c r="Q104" i="1"/>
  <c r="M104" i="1"/>
  <c r="P104" i="1"/>
  <c r="K101" i="1"/>
  <c r="K104" i="1" s="1"/>
  <c r="G109" i="1"/>
  <c r="G107" i="1"/>
  <c r="G108" i="1"/>
  <c r="G106" i="1"/>
  <c r="I101" i="1"/>
  <c r="I104" i="1" s="1"/>
  <c r="K109" i="1" l="1"/>
  <c r="K108" i="1"/>
  <c r="K107" i="1"/>
  <c r="K106" i="1"/>
  <c r="K103" i="1"/>
  <c r="I109" i="1"/>
  <c r="I108" i="1"/>
  <c r="I106" i="1"/>
  <c r="I107" i="1"/>
  <c r="I103" i="1"/>
</calcChain>
</file>

<file path=xl/sharedStrings.xml><?xml version="1.0" encoding="utf-8"?>
<sst xmlns="http://schemas.openxmlformats.org/spreadsheetml/2006/main" count="84" uniqueCount="61">
  <si>
    <t>Inputs</t>
  </si>
  <si>
    <t>Date of Valuation</t>
  </si>
  <si>
    <t>End Date of Latest Year of Financials</t>
  </si>
  <si>
    <t>Revenue</t>
  </si>
  <si>
    <t>EBITDA (Earnings)</t>
  </si>
  <si>
    <t>Depreciation</t>
  </si>
  <si>
    <t>Amortization</t>
  </si>
  <si>
    <t>Capital Expenditures</t>
  </si>
  <si>
    <t>Working Capital</t>
  </si>
  <si>
    <t>Outputs</t>
  </si>
  <si>
    <t>Rate Inputs (%)</t>
  </si>
  <si>
    <t>Company Value</t>
  </si>
  <si>
    <t>Discount Rate</t>
  </si>
  <si>
    <t>Short Term Revenue Growth Rate (still growing)</t>
  </si>
  <si>
    <t>Long Term Revenue Growth Rate (at maturity)</t>
  </si>
  <si>
    <t>Tax Rate</t>
  </si>
  <si>
    <t>Operating Summary</t>
  </si>
  <si>
    <t>Twelve Month Period Ending</t>
  </si>
  <si>
    <t>% growth</t>
  </si>
  <si>
    <t>--</t>
  </si>
  <si>
    <t>EBITDA</t>
  </si>
  <si>
    <t>% of sales</t>
  </si>
  <si>
    <t>EBIT</t>
  </si>
  <si>
    <t>Income Taxes</t>
  </si>
  <si>
    <t>% tax rate</t>
  </si>
  <si>
    <t>Net Operating Profit After Tax ("NOPAT")</t>
  </si>
  <si>
    <t>Plus: Depreciation</t>
  </si>
  <si>
    <t>Plus: Amortization</t>
  </si>
  <si>
    <t>Less: Capital Expenditures</t>
  </si>
  <si>
    <t>Less: Change in Working Capital</t>
  </si>
  <si>
    <t>Plus/Less: Change in Other Operating Assets/Liabilities</t>
  </si>
  <si>
    <t>Free Cash Flow ("FCF")</t>
  </si>
  <si>
    <t>Note: Working Capital</t>
  </si>
  <si>
    <t>Projection Period Calculation</t>
  </si>
  <si>
    <t>Discount Period</t>
  </si>
  <si>
    <t>Discounted FCF, Assuming Discount Rates as Shown</t>
  </si>
  <si>
    <t>Cumulative Discounted FCF over Projection Period</t>
  </si>
  <si>
    <t>Terminal Value Calculation</t>
  </si>
  <si>
    <t>Terminal Year EBITDA</t>
  </si>
  <si>
    <t>Terminal Value ("TV")</t>
  </si>
  <si>
    <t>Present Value of TV</t>
  </si>
  <si>
    <t>Terminal Year FCF</t>
  </si>
  <si>
    <t>Perpetual Growth Rate</t>
  </si>
  <si>
    <t>Terminal Year Discount Period</t>
  </si>
  <si>
    <t>Discount Rate Sensitivity Step</t>
  </si>
  <si>
    <t>Perpetual Growth Rate Sensitivity Step</t>
  </si>
  <si>
    <t>Implied EBITDA Multiple</t>
  </si>
  <si>
    <t>Discounted Cash Flow Summary</t>
  </si>
  <si>
    <t>Company Value Calculation</t>
  </si>
  <si>
    <t>FCF over Projection Period</t>
  </si>
  <si>
    <t>Terminus</t>
  </si>
  <si>
    <t>Company Value Attribution</t>
  </si>
  <si>
    <t>% Value in Projection Period</t>
  </si>
  <si>
    <t>% Value in Terminus</t>
  </si>
  <si>
    <t>Implied Valuation Multiples</t>
  </si>
  <si>
    <t>Implied Terminal EBITDA Multiple</t>
  </si>
  <si>
    <t>Company Value/ 2018 Rev</t>
  </si>
  <si>
    <t>Discounted Cashflow VaccineCo</t>
  </si>
  <si>
    <t>Thousands CAD, unless stated otherwise</t>
  </si>
  <si>
    <t>Operating Inputs ($K)</t>
  </si>
  <si>
    <t>Immune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</si>
</sst>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.0_);\(&quot;$&quot;#,##0.0\)"/>
    <numFmt numFmtId="165" formatCode="0.0\x_);\(0.0\x\)"/>
    <numFmt numFmtId="166" formatCode="#,##0.0_);\(#,##0.0\)"/>
    <numFmt numFmtId="167" formatCode="0.0%_);\(0.0%\)"/>
    <numFmt numFmtId="168" formatCode="#,##0.00000000000000"/>
    <numFmt numFmtId="169" formatCode="#,##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000000"/>
      <name val="Calibri"/>
      <family val="2"/>
    </font>
    <font>
      <i/>
      <sz val="12"/>
      <name val="Calibri"/>
      <family val="2"/>
    </font>
    <font>
      <b/>
      <sz val="12"/>
      <color rgb="FFFFFFFF"/>
      <name val="Calibri"/>
      <family val="2"/>
    </font>
    <font>
      <sz val="12"/>
      <color rgb="FF0000D4"/>
      <name val="Calibri"/>
      <family val="2"/>
    </font>
    <font>
      <b/>
      <sz val="12"/>
      <name val="Calibri"/>
      <family val="2"/>
    </font>
    <font>
      <sz val="12"/>
      <color rgb="FF006411"/>
      <name val="Calibri"/>
      <family val="2"/>
    </font>
    <font>
      <sz val="12"/>
      <color theme="9" tint="-0.249977111117893"/>
      <name val="Calibri"/>
      <family val="2"/>
    </font>
    <font>
      <sz val="12"/>
      <name val="Calibri"/>
      <family val="2"/>
    </font>
    <font>
      <i/>
      <u/>
      <sz val="12"/>
      <color rgb="FF000000"/>
      <name val="Calibri"/>
      <family val="2"/>
    </font>
    <font>
      <i/>
      <sz val="12"/>
      <color rgb="FF0000D4"/>
      <name val="Calibri"/>
      <family val="2"/>
    </font>
    <font>
      <i/>
      <sz val="12"/>
      <color rgb="FF006411"/>
      <name val="Calibri"/>
      <family val="2"/>
    </font>
    <font>
      <b/>
      <sz val="12"/>
      <color rgb="FF000000"/>
      <name val="Calibri"/>
      <family val="2"/>
    </font>
    <font>
      <i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i/>
      <sz val="12"/>
      <color rgb="FF000000"/>
      <name val="OCR A Std"/>
      <family val="3"/>
    </font>
    <font>
      <b/>
      <sz val="12"/>
      <name val="Calibri"/>
      <family val="2"/>
    </font>
    <font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C6D9F0"/>
        <bgColor rgb="FFC6D9F0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/>
      <right style="dotted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DD0806"/>
      </left>
      <right/>
      <top style="dotted">
        <color rgb="FFDD0806"/>
      </top>
      <bottom style="dotted">
        <color rgb="FFDD0806"/>
      </bottom>
      <diagonal/>
    </border>
    <border>
      <left/>
      <right/>
      <top style="dotted">
        <color rgb="FFDD0806"/>
      </top>
      <bottom style="dotted">
        <color rgb="FFDD0806"/>
      </bottom>
      <diagonal/>
    </border>
    <border>
      <left/>
      <right style="dotted">
        <color rgb="FFDD0806"/>
      </right>
      <top style="dotted">
        <color rgb="FFDD0806"/>
      </top>
      <bottom style="dotted">
        <color rgb="FFDD080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2" borderId="0" xfId="0" applyFont="1" applyFill="1" applyBorder="1"/>
    <xf numFmtId="14" fontId="5" fillId="0" borderId="0" xfId="0" applyNumberFormat="1" applyFont="1"/>
    <xf numFmtId="14" fontId="0" fillId="0" borderId="0" xfId="0" applyNumberFormat="1" applyFont="1"/>
    <xf numFmtId="0" fontId="2" fillId="0" borderId="0" xfId="0" applyFont="1" applyAlignment="1"/>
    <xf numFmtId="0" fontId="5" fillId="0" borderId="0" xfId="0" applyFont="1"/>
    <xf numFmtId="0" fontId="7" fillId="0" borderId="0" xfId="0" applyFont="1"/>
    <xf numFmtId="0" fontId="6" fillId="3" borderId="0" xfId="0" applyFont="1" applyFill="1" applyBorder="1"/>
    <xf numFmtId="0" fontId="8" fillId="0" borderId="0" xfId="0" applyFont="1" applyAlignment="1"/>
    <xf numFmtId="164" fontId="5" fillId="0" borderId="0" xfId="0" applyNumberFormat="1" applyFont="1"/>
    <xf numFmtId="164" fontId="9" fillId="0" borderId="0" xfId="0" applyNumberFormat="1" applyFont="1"/>
    <xf numFmtId="10" fontId="5" fillId="0" borderId="0" xfId="0" applyNumberFormat="1" applyFont="1"/>
    <xf numFmtId="10" fontId="0" fillId="0" borderId="0" xfId="0" applyNumberFormat="1" applyFont="1"/>
    <xf numFmtId="165" fontId="0" fillId="0" borderId="0" xfId="0" applyNumberFormat="1" applyFont="1"/>
    <xf numFmtId="14" fontId="7" fillId="0" borderId="1" xfId="0" applyNumberFormat="1" applyFont="1" applyBorder="1"/>
    <xf numFmtId="14" fontId="9" fillId="0" borderId="0" xfId="0" applyNumberFormat="1" applyFont="1" applyAlignment="1">
      <alignment horizontal="right"/>
    </xf>
    <xf numFmtId="0" fontId="0" fillId="0" borderId="2" xfId="0" applyFont="1" applyBorder="1"/>
    <xf numFmtId="166" fontId="7" fillId="0" borderId="3" xfId="0" applyNumberFormat="1" applyFont="1" applyBorder="1" applyAlignment="1">
      <alignment horizontal="right"/>
    </xf>
    <xf numFmtId="166" fontId="0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167" fontId="11" fillId="0" borderId="1" xfId="0" applyNumberFormat="1" applyFont="1" applyBorder="1" applyAlignment="1">
      <alignment horizontal="right"/>
    </xf>
    <xf numFmtId="167" fontId="1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67" fontId="11" fillId="0" borderId="0" xfId="0" applyNumberFormat="1" applyFont="1" applyAlignment="1">
      <alignment horizontal="right"/>
    </xf>
    <xf numFmtId="166" fontId="7" fillId="0" borderId="1" xfId="0" applyNumberFormat="1" applyFont="1" applyBorder="1" applyAlignment="1">
      <alignment horizontal="right"/>
    </xf>
    <xf numFmtId="166" fontId="0" fillId="0" borderId="0" xfId="0" applyNumberFormat="1" applyFont="1" applyAlignment="1">
      <alignment horizontal="right"/>
    </xf>
    <xf numFmtId="167" fontId="3" fillId="0" borderId="1" xfId="0" applyNumberFormat="1" applyFont="1" applyBorder="1" applyAlignment="1">
      <alignment horizontal="right"/>
    </xf>
    <xf numFmtId="167" fontId="2" fillId="0" borderId="0" xfId="0" applyNumberFormat="1" applyFont="1" applyAlignment="1">
      <alignment horizontal="right"/>
    </xf>
    <xf numFmtId="167" fontId="2" fillId="0" borderId="4" xfId="0" applyNumberFormat="1" applyFont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166" fontId="0" fillId="0" borderId="1" xfId="0" applyNumberFormat="1" applyFont="1" applyBorder="1" applyAlignment="1">
      <alignment horizontal="right"/>
    </xf>
    <xf numFmtId="167" fontId="2" fillId="0" borderId="1" xfId="0" applyNumberFormat="1" applyFont="1" applyBorder="1" applyAlignment="1">
      <alignment horizontal="right"/>
    </xf>
    <xf numFmtId="167" fontId="12" fillId="0" borderId="4" xfId="0" applyNumberFormat="1" applyFont="1" applyBorder="1" applyAlignment="1">
      <alignment horizontal="right"/>
    </xf>
    <xf numFmtId="166" fontId="0" fillId="0" borderId="6" xfId="0" applyNumberFormat="1" applyFont="1" applyBorder="1" applyAlignment="1">
      <alignment horizontal="right"/>
    </xf>
    <xf numFmtId="166" fontId="7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166" fontId="5" fillId="0" borderId="1" xfId="0" applyNumberFormat="1" applyFont="1" applyBorder="1" applyAlignment="1">
      <alignment horizontal="right"/>
    </xf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7" fontId="3" fillId="0" borderId="8" xfId="0" applyNumberFormat="1" applyFont="1" applyBorder="1" applyAlignment="1">
      <alignment horizontal="right"/>
    </xf>
    <xf numFmtId="167" fontId="2" fillId="0" borderId="7" xfId="0" applyNumberFormat="1" applyFont="1" applyBorder="1" applyAlignment="1">
      <alignment horizontal="right"/>
    </xf>
    <xf numFmtId="0" fontId="13" fillId="0" borderId="0" xfId="0" applyFont="1"/>
    <xf numFmtId="0" fontId="0" fillId="0" borderId="0" xfId="0" applyFont="1" applyAlignment="1">
      <alignment horizontal="right"/>
    </xf>
    <xf numFmtId="0" fontId="0" fillId="4" borderId="0" xfId="0" applyFont="1" applyFill="1" applyBorder="1"/>
    <xf numFmtId="166" fontId="0" fillId="4" borderId="0" xfId="0" applyNumberFormat="1" applyFont="1" applyFill="1" applyBorder="1" applyAlignment="1">
      <alignment horizontal="right"/>
    </xf>
    <xf numFmtId="166" fontId="0" fillId="0" borderId="0" xfId="0" applyNumberFormat="1" applyFont="1"/>
    <xf numFmtId="10" fontId="0" fillId="0" borderId="9" xfId="0" applyNumberFormat="1" applyFont="1" applyBorder="1"/>
    <xf numFmtId="0" fontId="0" fillId="0" borderId="10" xfId="0" applyFont="1" applyBorder="1"/>
    <xf numFmtId="166" fontId="0" fillId="0" borderId="11" xfId="0" applyNumberFormat="1" applyFont="1" applyBorder="1"/>
    <xf numFmtId="168" fontId="0" fillId="0" borderId="0" xfId="0" applyNumberFormat="1" applyFont="1"/>
    <xf numFmtId="169" fontId="0" fillId="0" borderId="0" xfId="0" applyNumberFormat="1" applyFont="1"/>
    <xf numFmtId="166" fontId="8" fillId="0" borderId="0" xfId="0" applyNumberFormat="1" applyFont="1"/>
    <xf numFmtId="10" fontId="7" fillId="0" borderId="0" xfId="0" applyNumberFormat="1" applyFont="1"/>
    <xf numFmtId="166" fontId="0" fillId="0" borderId="13" xfId="0" applyNumberFormat="1" applyFont="1" applyBorder="1" applyAlignment="1">
      <alignment horizontal="right"/>
    </xf>
    <xf numFmtId="166" fontId="0" fillId="0" borderId="14" xfId="0" applyNumberFormat="1" applyFont="1" applyBorder="1" applyAlignment="1">
      <alignment horizontal="right"/>
    </xf>
    <xf numFmtId="10" fontId="5" fillId="0" borderId="0" xfId="1" applyNumberFormat="1" applyFont="1"/>
    <xf numFmtId="166" fontId="0" fillId="0" borderId="15" xfId="0" applyNumberFormat="1" applyFont="1" applyBorder="1" applyAlignment="1">
      <alignment horizontal="right"/>
    </xf>
    <xf numFmtId="166" fontId="0" fillId="0" borderId="16" xfId="0" applyNumberFormat="1" applyFont="1" applyBorder="1" applyAlignment="1">
      <alignment horizontal="right"/>
    </xf>
    <xf numFmtId="166" fontId="0" fillId="0" borderId="5" xfId="0" applyNumberFormat="1" applyFont="1" applyBorder="1" applyAlignment="1">
      <alignment horizontal="right"/>
    </xf>
    <xf numFmtId="166" fontId="0" fillId="0" borderId="4" xfId="0" applyNumberFormat="1" applyFont="1" applyBorder="1" applyAlignment="1">
      <alignment horizontal="right"/>
    </xf>
    <xf numFmtId="165" fontId="0" fillId="5" borderId="13" xfId="0" applyNumberFormat="1" applyFont="1" applyFill="1" applyBorder="1"/>
    <xf numFmtId="165" fontId="0" fillId="5" borderId="14" xfId="0" applyNumberFormat="1" applyFont="1" applyFill="1" applyBorder="1"/>
    <xf numFmtId="165" fontId="0" fillId="5" borderId="6" xfId="0" applyNumberFormat="1" applyFont="1" applyFill="1" applyBorder="1"/>
    <xf numFmtId="165" fontId="0" fillId="5" borderId="15" xfId="0" applyNumberFormat="1" applyFont="1" applyFill="1" applyBorder="1"/>
    <xf numFmtId="165" fontId="0" fillId="5" borderId="0" xfId="0" applyNumberFormat="1" applyFont="1" applyFill="1" applyBorder="1"/>
    <xf numFmtId="165" fontId="0" fillId="5" borderId="1" xfId="0" applyNumberFormat="1" applyFont="1" applyFill="1" applyBorder="1"/>
    <xf numFmtId="165" fontId="0" fillId="5" borderId="16" xfId="0" applyNumberFormat="1" applyFont="1" applyFill="1" applyBorder="1"/>
    <xf numFmtId="165" fontId="0" fillId="5" borderId="5" xfId="0" applyNumberFormat="1" applyFont="1" applyFill="1" applyBorder="1"/>
    <xf numFmtId="165" fontId="0" fillId="5" borderId="4" xfId="0" applyNumberFormat="1" applyFont="1" applyFill="1" applyBorder="1"/>
    <xf numFmtId="0" fontId="0" fillId="0" borderId="17" xfId="0" applyFont="1" applyBorder="1"/>
    <xf numFmtId="0" fontId="0" fillId="0" borderId="18" xfId="0" applyFont="1" applyBorder="1"/>
    <xf numFmtId="166" fontId="0" fillId="0" borderId="18" xfId="0" applyNumberFormat="1" applyFont="1" applyBorder="1"/>
    <xf numFmtId="166" fontId="0" fillId="0" borderId="19" xfId="0" applyNumberFormat="1" applyFont="1" applyBorder="1"/>
    <xf numFmtId="167" fontId="0" fillId="0" borderId="0" xfId="0" applyNumberFormat="1" applyFont="1"/>
    <xf numFmtId="0" fontId="0" fillId="5" borderId="0" xfId="0" applyFont="1" applyFill="1" applyBorder="1"/>
    <xf numFmtId="0" fontId="15" fillId="0" borderId="0" xfId="0" applyFont="1"/>
    <xf numFmtId="0" fontId="16" fillId="0" borderId="0" xfId="0" applyFont="1"/>
    <xf numFmtId="0" fontId="17" fillId="3" borderId="0" xfId="0" applyFont="1" applyFill="1" applyBorder="1"/>
    <xf numFmtId="0" fontId="18" fillId="0" borderId="0" xfId="0" applyFont="1"/>
    <xf numFmtId="0" fontId="14" fillId="0" borderId="12" xfId="0" applyFont="1" applyBorder="1" applyAlignment="1">
      <alignment horizontal="right" vertical="center" wrapText="1"/>
    </xf>
    <xf numFmtId="0" fontId="9" fillId="0" borderId="12" xfId="0" applyFont="1" applyBorder="1"/>
    <xf numFmtId="10" fontId="10" fillId="0" borderId="0" xfId="0" applyNumberFormat="1" applyFont="1" applyAlignment="1">
      <alignment horizontal="center"/>
    </xf>
    <xf numFmtId="0" fontId="0" fillId="0" borderId="0" xfId="0" applyFont="1" applyAlignment="1"/>
    <xf numFmtId="0" fontId="10" fillId="0" borderId="0" xfId="0" applyFont="1" applyAlignment="1">
      <alignment horizontal="center"/>
    </xf>
    <xf numFmtId="10" fontId="14" fillId="0" borderId="7" xfId="0" applyNumberFormat="1" applyFont="1" applyBorder="1" applyAlignment="1">
      <alignment horizontal="center"/>
    </xf>
    <xf numFmtId="0" fontId="9" fillId="0" borderId="7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xial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showGridLines="0" tabSelected="1" topLeftCell="A26" workbookViewId="0">
      <selection activeCell="C115" sqref="C115"/>
    </sheetView>
  </sheetViews>
  <sheetFormatPr defaultColWidth="13.5" defaultRowHeight="15.75" x14ac:dyDescent="0.25"/>
  <cols>
    <col min="1" max="2" width="2.625" style="2" customWidth="1"/>
    <col min="3" max="3" width="48.5" style="2" customWidth="1"/>
    <col min="4" max="4" width="14.375" style="2" customWidth="1"/>
    <col min="5" max="6" width="6.375" style="2" customWidth="1"/>
    <col min="7" max="17" width="13" style="2" customWidth="1"/>
    <col min="18" max="27" width="11" style="2" customWidth="1"/>
    <col min="28" max="16384" width="13.5" style="2"/>
  </cols>
  <sheetData>
    <row r="1" spans="1:27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3"/>
      <c r="B2" s="3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5">
      <c r="A4" s="1"/>
      <c r="B4" s="1"/>
      <c r="C4" s="79" t="s">
        <v>57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5">
      <c r="A5" s="1"/>
      <c r="B5" s="1"/>
      <c r="C5" s="80" t="s">
        <v>58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5">
      <c r="A7" s="1"/>
      <c r="B7" s="1"/>
      <c r="C7" s="5" t="s">
        <v>0</v>
      </c>
      <c r="D7" s="5"/>
      <c r="E7" s="1"/>
      <c r="F7" s="1"/>
      <c r="G7" s="5"/>
      <c r="H7" s="5"/>
      <c r="I7" s="5"/>
      <c r="J7" s="5"/>
      <c r="K7" s="5"/>
      <c r="L7" s="5"/>
      <c r="M7" s="5"/>
      <c r="N7" s="5"/>
      <c r="O7" s="1"/>
      <c r="P7" s="5"/>
      <c r="Q7" s="5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5">
      <c r="A8" s="1"/>
      <c r="B8" s="1"/>
      <c r="C8" s="1" t="s">
        <v>1</v>
      </c>
      <c r="D8" s="6">
        <v>43465</v>
      </c>
      <c r="E8" s="7"/>
      <c r="F8" s="7"/>
      <c r="G8" s="8"/>
      <c r="H8" s="1"/>
      <c r="I8" s="1"/>
      <c r="J8" s="1"/>
      <c r="K8" s="1"/>
      <c r="L8" s="1"/>
      <c r="M8" s="1"/>
      <c r="N8" s="1"/>
      <c r="O8" s="1"/>
      <c r="P8" s="9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5">
      <c r="A9" s="1"/>
      <c r="B9" s="1"/>
      <c r="C9" s="1" t="s">
        <v>2</v>
      </c>
      <c r="D9" s="6">
        <v>47118</v>
      </c>
      <c r="E9" s="7"/>
      <c r="F9" s="7"/>
      <c r="H9" s="1"/>
      <c r="I9" s="1"/>
      <c r="J9" s="1"/>
      <c r="K9" s="1"/>
      <c r="L9" s="1"/>
      <c r="M9" s="1"/>
      <c r="N9" s="1"/>
      <c r="O9" s="1"/>
      <c r="P9" s="10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5">
      <c r="A10" s="1"/>
      <c r="B10" s="1"/>
      <c r="C10" s="81" t="s">
        <v>59</v>
      </c>
      <c r="D10" s="1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2"/>
      <c r="Q10" s="10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5">
      <c r="A11" s="1"/>
      <c r="B11" s="1"/>
      <c r="C11" s="1" t="s">
        <v>3</v>
      </c>
      <c r="D11" s="13">
        <v>50</v>
      </c>
      <c r="E11" s="7"/>
      <c r="F11" s="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5">
      <c r="A12" s="1"/>
      <c r="B12" s="1"/>
      <c r="C12" s="1" t="s">
        <v>4</v>
      </c>
      <c r="D12" s="13">
        <v>10</v>
      </c>
      <c r="E12" s="7"/>
      <c r="F12" s="7"/>
      <c r="H12" s="1"/>
      <c r="I12" s="1"/>
      <c r="J12" s="1"/>
      <c r="K12" s="1"/>
      <c r="L12" s="1"/>
      <c r="M12" s="1"/>
      <c r="N12" s="1"/>
      <c r="O12" s="1"/>
      <c r="P12" s="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5">
      <c r="A13" s="1"/>
      <c r="B13" s="1"/>
      <c r="C13" s="1" t="s">
        <v>5</v>
      </c>
      <c r="D13" s="13">
        <v>1</v>
      </c>
      <c r="E13" s="7"/>
      <c r="F13" s="7"/>
      <c r="H13" s="1"/>
      <c r="I13" s="1"/>
      <c r="J13" s="1"/>
      <c r="K13" s="1"/>
      <c r="L13" s="1"/>
      <c r="M13" s="1"/>
      <c r="N13" s="1"/>
      <c r="O13" s="1"/>
      <c r="P13" s="9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5">
      <c r="A14" s="1"/>
      <c r="B14" s="1"/>
      <c r="C14" s="1" t="s">
        <v>6</v>
      </c>
      <c r="D14" s="13">
        <v>0.5</v>
      </c>
      <c r="E14" s="7"/>
      <c r="F14" s="7"/>
      <c r="H14" s="1"/>
      <c r="I14" s="1"/>
      <c r="J14" s="1"/>
      <c r="K14" s="1"/>
      <c r="L14" s="1"/>
      <c r="M14" s="1"/>
      <c r="N14" s="1"/>
      <c r="O14" s="1"/>
      <c r="P14" s="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5">
      <c r="A15" s="1"/>
      <c r="B15" s="1"/>
      <c r="C15" s="1" t="s">
        <v>7</v>
      </c>
      <c r="D15" s="13">
        <v>0.1</v>
      </c>
      <c r="E15" s="7"/>
      <c r="F15" s="7"/>
      <c r="G15" s="1"/>
      <c r="H15" s="1"/>
      <c r="I15" s="1"/>
      <c r="J15" s="1"/>
      <c r="K15" s="1"/>
      <c r="L15" s="1"/>
      <c r="M15" s="1"/>
      <c r="N15" s="1"/>
      <c r="O15" s="1"/>
      <c r="P15" s="9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5">
      <c r="A16" s="1"/>
      <c r="B16" s="1"/>
      <c r="C16" s="1" t="s">
        <v>8</v>
      </c>
      <c r="D16" s="13">
        <v>0.5</v>
      </c>
      <c r="E16" s="7"/>
      <c r="F16" s="7"/>
      <c r="G16" s="5" t="s">
        <v>9</v>
      </c>
      <c r="H16" s="5"/>
      <c r="I16" s="5"/>
      <c r="J16" s="5"/>
      <c r="K16" s="5"/>
      <c r="L16" s="5"/>
      <c r="M16" s="5"/>
      <c r="N16" s="5"/>
      <c r="O16" s="1"/>
      <c r="P16" s="5"/>
      <c r="Q16" s="5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5">
      <c r="A17" s="1"/>
      <c r="B17" s="1"/>
      <c r="C17" s="11" t="s">
        <v>10</v>
      </c>
      <c r="D17" s="11"/>
      <c r="E17" s="7"/>
      <c r="F17" s="7"/>
      <c r="G17" s="1" t="s">
        <v>11</v>
      </c>
      <c r="H17" s="1"/>
      <c r="I17" s="1"/>
      <c r="J17" s="14">
        <f>L101</f>
        <v>84.095336424978782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5">
      <c r="A18" s="1"/>
      <c r="B18" s="1"/>
      <c r="C18" s="1" t="s">
        <v>12</v>
      </c>
      <c r="D18" s="15">
        <v>0.15</v>
      </c>
      <c r="E18" s="16"/>
      <c r="F18" s="16"/>
      <c r="G18" s="1" t="str">
        <f>"Company Value / "&amp;TEXT(G26,"yyyy")&amp;" Revenue"</f>
        <v>Company Value / 2018 Revenue</v>
      </c>
      <c r="H18" s="1"/>
      <c r="I18" s="1"/>
      <c r="J18" s="17">
        <f>L101/$G$27</f>
        <v>1.6819067284995757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5">
      <c r="A19" s="1"/>
      <c r="B19" s="1"/>
      <c r="C19" s="1" t="s">
        <v>13</v>
      </c>
      <c r="D19" s="15">
        <v>0.06</v>
      </c>
      <c r="E19" s="16"/>
      <c r="F19" s="16"/>
      <c r="G19" s="1" t="str">
        <f>"Company Value / "&amp;TEXT(G26,"yyyy")&amp;" EBITDA"</f>
        <v>Company Value / 2018 EBITDA</v>
      </c>
      <c r="H19" s="1"/>
      <c r="I19" s="1"/>
      <c r="J19" s="17">
        <f>L101/$G$30</f>
        <v>8.4095336424978786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5">
      <c r="A20" s="1"/>
      <c r="B20" s="1"/>
      <c r="C20" s="1" t="s">
        <v>14</v>
      </c>
      <c r="D20" s="15">
        <v>0.03</v>
      </c>
      <c r="E20" s="16"/>
      <c r="F20" s="1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1"/>
      <c r="B21" s="1"/>
      <c r="C21" s="1" t="s">
        <v>15</v>
      </c>
      <c r="D21" s="15">
        <v>0.2</v>
      </c>
      <c r="E21" s="16"/>
      <c r="F21" s="1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1"/>
      <c r="B23" s="1"/>
      <c r="C23" s="5" t="s">
        <v>16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8" customHeight="1" x14ac:dyDescent="0.25">
      <c r="A25" s="1"/>
      <c r="B25" s="1"/>
      <c r="C25" s="1"/>
      <c r="D25" s="1"/>
      <c r="E25" s="1"/>
      <c r="F25" s="1"/>
      <c r="G25" s="87" t="s">
        <v>17</v>
      </c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1"/>
      <c r="B26" s="1"/>
      <c r="C26" s="1"/>
      <c r="D26" s="1"/>
      <c r="E26" s="1"/>
      <c r="F26" s="1"/>
      <c r="G26" s="18">
        <v>43465</v>
      </c>
      <c r="H26" s="19">
        <f t="shared" ref="H26:Q26" si="0">DATE(YEAR(G26)+1,MONTH(G26),DAY(G26))</f>
        <v>43830</v>
      </c>
      <c r="I26" s="19">
        <f t="shared" si="0"/>
        <v>44196</v>
      </c>
      <c r="J26" s="19">
        <f t="shared" si="0"/>
        <v>44561</v>
      </c>
      <c r="K26" s="19">
        <f t="shared" si="0"/>
        <v>44926</v>
      </c>
      <c r="L26" s="19">
        <f t="shared" si="0"/>
        <v>45291</v>
      </c>
      <c r="M26" s="19">
        <f t="shared" si="0"/>
        <v>45657</v>
      </c>
      <c r="N26" s="19">
        <f t="shared" si="0"/>
        <v>46022</v>
      </c>
      <c r="O26" s="19">
        <f t="shared" si="0"/>
        <v>46387</v>
      </c>
      <c r="P26" s="19">
        <f t="shared" si="0"/>
        <v>46752</v>
      </c>
      <c r="Q26" s="19">
        <f t="shared" si="0"/>
        <v>47118</v>
      </c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1"/>
      <c r="B27" s="1"/>
      <c r="C27" s="20" t="s">
        <v>3</v>
      </c>
      <c r="D27" s="20"/>
      <c r="E27" s="20"/>
      <c r="F27" s="20"/>
      <c r="G27" s="21">
        <f>D11</f>
        <v>50</v>
      </c>
      <c r="H27" s="22">
        <f t="shared" ref="H27:Q27" si="1">(H28+1)*G27</f>
        <v>53</v>
      </c>
      <c r="I27" s="22">
        <f t="shared" si="1"/>
        <v>56.00333333333333</v>
      </c>
      <c r="J27" s="22">
        <f t="shared" si="1"/>
        <v>58.990177777777767</v>
      </c>
      <c r="K27" s="22">
        <f t="shared" si="1"/>
        <v>61.93968666666666</v>
      </c>
      <c r="L27" s="22">
        <f t="shared" si="1"/>
        <v>64.830205377777773</v>
      </c>
      <c r="M27" s="22">
        <f t="shared" si="1"/>
        <v>67.639514277481467</v>
      </c>
      <c r="N27" s="22">
        <f t="shared" si="1"/>
        <v>70.345094848580729</v>
      </c>
      <c r="O27" s="22">
        <f t="shared" si="1"/>
        <v>72.924414993028691</v>
      </c>
      <c r="P27" s="22">
        <f t="shared" si="1"/>
        <v>75.355228826129633</v>
      </c>
      <c r="Q27" s="22">
        <f t="shared" si="1"/>
        <v>77.61588569091353</v>
      </c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3"/>
      <c r="B28" s="3"/>
      <c r="C28" s="23" t="s">
        <v>18</v>
      </c>
      <c r="D28" s="3"/>
      <c r="E28" s="3"/>
      <c r="F28" s="3"/>
      <c r="G28" s="24" t="s">
        <v>19</v>
      </c>
      <c r="H28" s="25">
        <f>D19</f>
        <v>0.06</v>
      </c>
      <c r="I28" s="26">
        <f t="shared" ref="I28:Q28" si="2">H28-($D$19-$D$20)/9</f>
        <v>5.6666666666666664E-2</v>
      </c>
      <c r="J28" s="26">
        <f t="shared" si="2"/>
        <v>5.333333333333333E-2</v>
      </c>
      <c r="K28" s="26">
        <f t="shared" si="2"/>
        <v>4.9999999999999996E-2</v>
      </c>
      <c r="L28" s="26">
        <f t="shared" si="2"/>
        <v>4.6666666666666662E-2</v>
      </c>
      <c r="M28" s="26">
        <f t="shared" si="2"/>
        <v>4.3333333333333328E-2</v>
      </c>
      <c r="N28" s="26">
        <f t="shared" si="2"/>
        <v>3.9999999999999994E-2</v>
      </c>
      <c r="O28" s="26">
        <f t="shared" si="2"/>
        <v>3.666666666666666E-2</v>
      </c>
      <c r="P28" s="26">
        <f t="shared" si="2"/>
        <v>3.3333333333333326E-2</v>
      </c>
      <c r="Q28" s="26">
        <f t="shared" si="2"/>
        <v>2.9999999999999992E-2</v>
      </c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5">
      <c r="A29" s="3"/>
      <c r="B29" s="3"/>
      <c r="C29" s="23"/>
      <c r="D29" s="3"/>
      <c r="E29" s="3"/>
      <c r="F29" s="3"/>
      <c r="G29" s="24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5">
      <c r="A30" s="1"/>
      <c r="B30" s="1"/>
      <c r="C30" s="1" t="s">
        <v>20</v>
      </c>
      <c r="D30" s="1"/>
      <c r="E30" s="1"/>
      <c r="F30" s="1"/>
      <c r="G30" s="28">
        <f>D12</f>
        <v>10</v>
      </c>
      <c r="H30" s="29">
        <f t="shared" ref="H30:Q30" si="3">H31*H27</f>
        <v>10.600000000000001</v>
      </c>
      <c r="I30" s="29">
        <f t="shared" si="3"/>
        <v>11.200666666666667</v>
      </c>
      <c r="J30" s="29">
        <f t="shared" si="3"/>
        <v>11.798035555555554</v>
      </c>
      <c r="K30" s="29">
        <f t="shared" si="3"/>
        <v>12.387937333333333</v>
      </c>
      <c r="L30" s="29">
        <f t="shared" si="3"/>
        <v>12.966041075555555</v>
      </c>
      <c r="M30" s="29">
        <f t="shared" si="3"/>
        <v>13.527902855496293</v>
      </c>
      <c r="N30" s="29">
        <f t="shared" si="3"/>
        <v>14.069018969716147</v>
      </c>
      <c r="O30" s="29">
        <f t="shared" si="3"/>
        <v>14.584882998605739</v>
      </c>
      <c r="P30" s="29">
        <f t="shared" si="3"/>
        <v>15.071045765225927</v>
      </c>
      <c r="Q30" s="29">
        <f t="shared" si="3"/>
        <v>15.523177138182707</v>
      </c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3"/>
      <c r="B31" s="3"/>
      <c r="C31" s="23" t="s">
        <v>21</v>
      </c>
      <c r="D31" s="3"/>
      <c r="E31" s="3"/>
      <c r="F31" s="3"/>
      <c r="G31" s="30">
        <f>G30/G27</f>
        <v>0.2</v>
      </c>
      <c r="H31" s="31">
        <f t="shared" ref="H31:Q31" si="4">G31</f>
        <v>0.2</v>
      </c>
      <c r="I31" s="31">
        <f t="shared" si="4"/>
        <v>0.2</v>
      </c>
      <c r="J31" s="31">
        <f t="shared" si="4"/>
        <v>0.2</v>
      </c>
      <c r="K31" s="31">
        <f t="shared" si="4"/>
        <v>0.2</v>
      </c>
      <c r="L31" s="31">
        <f t="shared" si="4"/>
        <v>0.2</v>
      </c>
      <c r="M31" s="31">
        <f t="shared" si="4"/>
        <v>0.2</v>
      </c>
      <c r="N31" s="31">
        <f t="shared" si="4"/>
        <v>0.2</v>
      </c>
      <c r="O31" s="31">
        <f t="shared" si="4"/>
        <v>0.2</v>
      </c>
      <c r="P31" s="31">
        <f t="shared" si="4"/>
        <v>0.2</v>
      </c>
      <c r="Q31" s="31">
        <f t="shared" si="4"/>
        <v>0.2</v>
      </c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5">
      <c r="A32" s="1"/>
      <c r="B32" s="1"/>
      <c r="C32" s="1" t="s">
        <v>5</v>
      </c>
      <c r="D32" s="1"/>
      <c r="E32" s="1"/>
      <c r="F32" s="1"/>
      <c r="G32" s="28">
        <f>D13</f>
        <v>1</v>
      </c>
      <c r="H32" s="29">
        <f t="shared" ref="H32:Q32" si="5">H33*H27</f>
        <v>1.06</v>
      </c>
      <c r="I32" s="29">
        <f t="shared" si="5"/>
        <v>1.1200666666666665</v>
      </c>
      <c r="J32" s="29">
        <f t="shared" si="5"/>
        <v>1.1798035555555553</v>
      </c>
      <c r="K32" s="29">
        <f t="shared" si="5"/>
        <v>1.2387937333333332</v>
      </c>
      <c r="L32" s="29">
        <f t="shared" si="5"/>
        <v>1.2966041075555554</v>
      </c>
      <c r="M32" s="29">
        <f t="shared" si="5"/>
        <v>1.3527902855496294</v>
      </c>
      <c r="N32" s="29">
        <f t="shared" si="5"/>
        <v>1.4069018969716145</v>
      </c>
      <c r="O32" s="29">
        <f t="shared" si="5"/>
        <v>1.4584882998605739</v>
      </c>
      <c r="P32" s="29">
        <f t="shared" si="5"/>
        <v>1.5071045765225928</v>
      </c>
      <c r="Q32" s="29">
        <f t="shared" si="5"/>
        <v>1.5523177138182707</v>
      </c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3"/>
      <c r="B33" s="3"/>
      <c r="C33" s="23" t="s">
        <v>21</v>
      </c>
      <c r="D33" s="3"/>
      <c r="E33" s="3"/>
      <c r="F33" s="3"/>
      <c r="G33" s="30">
        <f>G32/G27</f>
        <v>0.02</v>
      </c>
      <c r="H33" s="31">
        <f t="shared" ref="H33:Q33" si="6">G33</f>
        <v>0.02</v>
      </c>
      <c r="I33" s="31">
        <f t="shared" si="6"/>
        <v>0.02</v>
      </c>
      <c r="J33" s="31">
        <f t="shared" si="6"/>
        <v>0.02</v>
      </c>
      <c r="K33" s="31">
        <f t="shared" si="6"/>
        <v>0.02</v>
      </c>
      <c r="L33" s="31">
        <f t="shared" si="6"/>
        <v>0.02</v>
      </c>
      <c r="M33" s="31">
        <f t="shared" si="6"/>
        <v>0.02</v>
      </c>
      <c r="N33" s="31">
        <f t="shared" si="6"/>
        <v>0.02</v>
      </c>
      <c r="O33" s="31">
        <f t="shared" si="6"/>
        <v>0.02</v>
      </c>
      <c r="P33" s="31">
        <f t="shared" si="6"/>
        <v>0.02</v>
      </c>
      <c r="Q33" s="31">
        <f t="shared" si="6"/>
        <v>0.02</v>
      </c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5">
      <c r="A34" s="1"/>
      <c r="B34" s="1"/>
      <c r="C34" s="1" t="s">
        <v>6</v>
      </c>
      <c r="D34" s="1"/>
      <c r="E34" s="1"/>
      <c r="F34" s="1"/>
      <c r="G34" s="28">
        <f>D14</f>
        <v>0.5</v>
      </c>
      <c r="H34" s="29">
        <f>H27*H35</f>
        <v>0.53</v>
      </c>
      <c r="I34" s="29">
        <f t="shared" ref="I34:Q34" si="7">I27*I35</f>
        <v>0.56003333333333327</v>
      </c>
      <c r="J34" s="29">
        <f t="shared" si="7"/>
        <v>0.58990177777777764</v>
      </c>
      <c r="K34" s="29">
        <f t="shared" si="7"/>
        <v>0.6193968666666666</v>
      </c>
      <c r="L34" s="29">
        <f t="shared" si="7"/>
        <v>0.64830205377777772</v>
      </c>
      <c r="M34" s="29">
        <f t="shared" si="7"/>
        <v>0.67639514277481472</v>
      </c>
      <c r="N34" s="29">
        <f t="shared" si="7"/>
        <v>0.70345094848580725</v>
      </c>
      <c r="O34" s="29">
        <f t="shared" si="7"/>
        <v>0.72924414993028697</v>
      </c>
      <c r="P34" s="29">
        <f t="shared" si="7"/>
        <v>0.75355228826129639</v>
      </c>
      <c r="Q34" s="29">
        <f t="shared" si="7"/>
        <v>0.77615885690913533</v>
      </c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3"/>
      <c r="B35" s="3"/>
      <c r="C35" s="23" t="s">
        <v>21</v>
      </c>
      <c r="D35" s="3"/>
      <c r="E35" s="3"/>
      <c r="F35" s="3"/>
      <c r="G35" s="32">
        <f t="shared" ref="G35" si="8">G34/G27</f>
        <v>0.01</v>
      </c>
      <c r="H35" s="33">
        <f>G35</f>
        <v>0.01</v>
      </c>
      <c r="I35" s="33">
        <f t="shared" ref="I35:Q35" si="9">H35</f>
        <v>0.01</v>
      </c>
      <c r="J35" s="33">
        <f t="shared" si="9"/>
        <v>0.01</v>
      </c>
      <c r="K35" s="33">
        <f t="shared" si="9"/>
        <v>0.01</v>
      </c>
      <c r="L35" s="33">
        <f t="shared" si="9"/>
        <v>0.01</v>
      </c>
      <c r="M35" s="33">
        <f t="shared" si="9"/>
        <v>0.01</v>
      </c>
      <c r="N35" s="33">
        <f t="shared" si="9"/>
        <v>0.01</v>
      </c>
      <c r="O35" s="33">
        <f t="shared" si="9"/>
        <v>0.01</v>
      </c>
      <c r="P35" s="33">
        <f t="shared" si="9"/>
        <v>0.01</v>
      </c>
      <c r="Q35" s="33">
        <f t="shared" si="9"/>
        <v>0.01</v>
      </c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5">
      <c r="A36" s="1"/>
      <c r="B36" s="1"/>
      <c r="C36" s="1" t="s">
        <v>22</v>
      </c>
      <c r="D36" s="1"/>
      <c r="E36" s="1"/>
      <c r="F36" s="1"/>
      <c r="G36" s="34">
        <f t="shared" ref="G36:Q36" si="10">G30-G32-G34</f>
        <v>8.5</v>
      </c>
      <c r="H36" s="29">
        <f t="shared" si="10"/>
        <v>9.0100000000000016</v>
      </c>
      <c r="I36" s="29">
        <f t="shared" si="10"/>
        <v>9.5205666666666673</v>
      </c>
      <c r="J36" s="29">
        <f t="shared" si="10"/>
        <v>10.028330222222221</v>
      </c>
      <c r="K36" s="29">
        <f t="shared" si="10"/>
        <v>10.529746733333333</v>
      </c>
      <c r="L36" s="29">
        <f t="shared" si="10"/>
        <v>11.021134914222221</v>
      </c>
      <c r="M36" s="29">
        <f t="shared" si="10"/>
        <v>11.498717427171849</v>
      </c>
      <c r="N36" s="29">
        <f t="shared" si="10"/>
        <v>11.958666124258725</v>
      </c>
      <c r="O36" s="29">
        <f t="shared" si="10"/>
        <v>12.397150548814878</v>
      </c>
      <c r="P36" s="29">
        <f t="shared" si="10"/>
        <v>12.810388900442037</v>
      </c>
      <c r="Q36" s="29">
        <f t="shared" si="10"/>
        <v>13.1947005674553</v>
      </c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3"/>
      <c r="B37" s="3"/>
      <c r="C37" s="23" t="s">
        <v>21</v>
      </c>
      <c r="D37" s="3"/>
      <c r="E37" s="3"/>
      <c r="F37" s="3"/>
      <c r="G37" s="35">
        <f t="shared" ref="G37:Q37" si="11">G36/G27</f>
        <v>0.17</v>
      </c>
      <c r="H37" s="31">
        <f t="shared" si="11"/>
        <v>0.17000000000000004</v>
      </c>
      <c r="I37" s="31">
        <f t="shared" si="11"/>
        <v>0.17</v>
      </c>
      <c r="J37" s="31">
        <f t="shared" si="11"/>
        <v>0.17</v>
      </c>
      <c r="K37" s="31">
        <f t="shared" si="11"/>
        <v>0.17</v>
      </c>
      <c r="L37" s="31">
        <f t="shared" si="11"/>
        <v>0.17</v>
      </c>
      <c r="M37" s="31">
        <f t="shared" si="11"/>
        <v>0.16999999999999998</v>
      </c>
      <c r="N37" s="31">
        <f t="shared" si="11"/>
        <v>0.17</v>
      </c>
      <c r="O37" s="31">
        <f t="shared" si="11"/>
        <v>0.17</v>
      </c>
      <c r="P37" s="31">
        <f t="shared" si="11"/>
        <v>0.16999999999999998</v>
      </c>
      <c r="Q37" s="31">
        <f t="shared" si="11"/>
        <v>0.16999999999999998</v>
      </c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5">
      <c r="A38" s="3"/>
      <c r="B38" s="3"/>
      <c r="C38" s="23"/>
      <c r="D38" s="3"/>
      <c r="E38" s="3"/>
      <c r="F38" s="3"/>
      <c r="G38" s="35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5">
      <c r="A39" s="1"/>
      <c r="B39" s="1"/>
      <c r="C39" s="1" t="s">
        <v>23</v>
      </c>
      <c r="D39" s="1"/>
      <c r="E39" s="1"/>
      <c r="F39" s="1"/>
      <c r="G39" s="34">
        <f t="shared" ref="G39:Q39" si="12">G40*G36</f>
        <v>1.7000000000000002</v>
      </c>
      <c r="H39" s="29">
        <f t="shared" si="12"/>
        <v>1.8020000000000005</v>
      </c>
      <c r="I39" s="29">
        <f t="shared" si="12"/>
        <v>1.9041133333333335</v>
      </c>
      <c r="J39" s="29">
        <f t="shared" si="12"/>
        <v>2.0056660444444443</v>
      </c>
      <c r="K39" s="29">
        <f t="shared" si="12"/>
        <v>2.1059493466666668</v>
      </c>
      <c r="L39" s="29">
        <f t="shared" si="12"/>
        <v>2.2042269828444443</v>
      </c>
      <c r="M39" s="29">
        <f t="shared" si="12"/>
        <v>2.2997434854343699</v>
      </c>
      <c r="N39" s="29">
        <f t="shared" si="12"/>
        <v>2.3917332248517451</v>
      </c>
      <c r="O39" s="29">
        <f t="shared" si="12"/>
        <v>2.4794301097629758</v>
      </c>
      <c r="P39" s="29">
        <f t="shared" si="12"/>
        <v>2.5620777800884076</v>
      </c>
      <c r="Q39" s="29">
        <f t="shared" si="12"/>
        <v>2.6389401134910599</v>
      </c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3"/>
      <c r="B40" s="3"/>
      <c r="C40" s="23" t="s">
        <v>24</v>
      </c>
      <c r="D40" s="3"/>
      <c r="E40" s="3"/>
      <c r="F40" s="3"/>
      <c r="G40" s="36">
        <f>D21</f>
        <v>0.2</v>
      </c>
      <c r="H40" s="33">
        <f t="shared" ref="H40:Q40" si="13">G40</f>
        <v>0.2</v>
      </c>
      <c r="I40" s="33">
        <f t="shared" si="13"/>
        <v>0.2</v>
      </c>
      <c r="J40" s="33">
        <f t="shared" si="13"/>
        <v>0.2</v>
      </c>
      <c r="K40" s="33">
        <f t="shared" si="13"/>
        <v>0.2</v>
      </c>
      <c r="L40" s="33">
        <f t="shared" si="13"/>
        <v>0.2</v>
      </c>
      <c r="M40" s="33">
        <f t="shared" si="13"/>
        <v>0.2</v>
      </c>
      <c r="N40" s="33">
        <f t="shared" si="13"/>
        <v>0.2</v>
      </c>
      <c r="O40" s="33">
        <f t="shared" si="13"/>
        <v>0.2</v>
      </c>
      <c r="P40" s="33">
        <f t="shared" si="13"/>
        <v>0.2</v>
      </c>
      <c r="Q40" s="33">
        <f t="shared" si="13"/>
        <v>0.2</v>
      </c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5">
      <c r="A41" s="1"/>
      <c r="B41" s="1"/>
      <c r="C41" s="1" t="s">
        <v>25</v>
      </c>
      <c r="D41" s="1"/>
      <c r="E41" s="1"/>
      <c r="F41" s="1"/>
      <c r="G41" s="37">
        <f t="shared" ref="G41:Q41" si="14">G36-G39</f>
        <v>6.8</v>
      </c>
      <c r="H41" s="29">
        <f t="shared" si="14"/>
        <v>7.2080000000000011</v>
      </c>
      <c r="I41" s="29">
        <f t="shared" si="14"/>
        <v>7.6164533333333342</v>
      </c>
      <c r="J41" s="29">
        <f t="shared" si="14"/>
        <v>8.0226641777777772</v>
      </c>
      <c r="K41" s="29">
        <f t="shared" si="14"/>
        <v>8.4237973866666671</v>
      </c>
      <c r="L41" s="29">
        <f t="shared" si="14"/>
        <v>8.8169079313777772</v>
      </c>
      <c r="M41" s="29">
        <f t="shared" si="14"/>
        <v>9.1989739417374796</v>
      </c>
      <c r="N41" s="29">
        <f t="shared" si="14"/>
        <v>9.5669328994069804</v>
      </c>
      <c r="O41" s="29">
        <f t="shared" si="14"/>
        <v>9.9177204390519016</v>
      </c>
      <c r="P41" s="29">
        <f t="shared" si="14"/>
        <v>10.24831112035363</v>
      </c>
      <c r="Q41" s="29">
        <f t="shared" si="14"/>
        <v>10.55576045396424</v>
      </c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3"/>
      <c r="B42" s="3"/>
      <c r="C42" s="23" t="s">
        <v>21</v>
      </c>
      <c r="D42" s="3"/>
      <c r="E42" s="3"/>
      <c r="F42" s="3"/>
      <c r="G42" s="35">
        <f t="shared" ref="G42:Q42" si="15">G41/G27</f>
        <v>0.13600000000000001</v>
      </c>
      <c r="H42" s="31">
        <f t="shared" si="15"/>
        <v>0.13600000000000001</v>
      </c>
      <c r="I42" s="31">
        <f t="shared" si="15"/>
        <v>0.13600000000000001</v>
      </c>
      <c r="J42" s="31">
        <f t="shared" si="15"/>
        <v>0.13600000000000001</v>
      </c>
      <c r="K42" s="31">
        <f t="shared" si="15"/>
        <v>0.13600000000000001</v>
      </c>
      <c r="L42" s="31">
        <f t="shared" si="15"/>
        <v>0.13600000000000001</v>
      </c>
      <c r="M42" s="31">
        <f t="shared" si="15"/>
        <v>0.13600000000000001</v>
      </c>
      <c r="N42" s="31">
        <f t="shared" si="15"/>
        <v>0.13600000000000001</v>
      </c>
      <c r="O42" s="31">
        <f t="shared" si="15"/>
        <v>0.13599999999999998</v>
      </c>
      <c r="P42" s="31">
        <f t="shared" si="15"/>
        <v>0.13600000000000001</v>
      </c>
      <c r="Q42" s="31">
        <f t="shared" si="15"/>
        <v>0.13600000000000001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5">
      <c r="A43" s="3"/>
      <c r="B43" s="3"/>
      <c r="C43" s="23"/>
      <c r="D43" s="3"/>
      <c r="E43" s="3"/>
      <c r="F43" s="3"/>
      <c r="G43" s="35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5">
      <c r="A44" s="1"/>
      <c r="B44" s="1"/>
      <c r="C44" s="1" t="s">
        <v>26</v>
      </c>
      <c r="D44" s="1"/>
      <c r="E44" s="1"/>
      <c r="F44" s="1"/>
      <c r="G44" s="28">
        <f t="shared" ref="G44:Q44" si="16">G32</f>
        <v>1</v>
      </c>
      <c r="H44" s="38">
        <f t="shared" si="16"/>
        <v>1.06</v>
      </c>
      <c r="I44" s="38">
        <f t="shared" si="16"/>
        <v>1.1200666666666665</v>
      </c>
      <c r="J44" s="38">
        <f t="shared" si="16"/>
        <v>1.1798035555555553</v>
      </c>
      <c r="K44" s="38">
        <f t="shared" si="16"/>
        <v>1.2387937333333332</v>
      </c>
      <c r="L44" s="38">
        <f t="shared" si="16"/>
        <v>1.2966041075555554</v>
      </c>
      <c r="M44" s="38">
        <f t="shared" si="16"/>
        <v>1.3527902855496294</v>
      </c>
      <c r="N44" s="38">
        <f t="shared" si="16"/>
        <v>1.4069018969716145</v>
      </c>
      <c r="O44" s="38">
        <f t="shared" si="16"/>
        <v>1.4584882998605739</v>
      </c>
      <c r="P44" s="38">
        <f t="shared" si="16"/>
        <v>1.5071045765225928</v>
      </c>
      <c r="Q44" s="38">
        <f t="shared" si="16"/>
        <v>1.5523177138182707</v>
      </c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3"/>
      <c r="B45" s="3"/>
      <c r="C45" s="23" t="s">
        <v>21</v>
      </c>
      <c r="D45" s="3"/>
      <c r="E45" s="3"/>
      <c r="F45" s="3"/>
      <c r="G45" s="35">
        <f t="shared" ref="G45:Q45" si="17">G44/G27</f>
        <v>0.02</v>
      </c>
      <c r="H45" s="31">
        <f t="shared" si="17"/>
        <v>0.02</v>
      </c>
      <c r="I45" s="31">
        <f t="shared" si="17"/>
        <v>0.02</v>
      </c>
      <c r="J45" s="31">
        <f t="shared" si="17"/>
        <v>0.02</v>
      </c>
      <c r="K45" s="31">
        <f t="shared" si="17"/>
        <v>0.02</v>
      </c>
      <c r="L45" s="31">
        <f t="shared" si="17"/>
        <v>0.02</v>
      </c>
      <c r="M45" s="31">
        <f t="shared" si="17"/>
        <v>0.02</v>
      </c>
      <c r="N45" s="31">
        <f t="shared" si="17"/>
        <v>0.02</v>
      </c>
      <c r="O45" s="31">
        <f t="shared" si="17"/>
        <v>0.02</v>
      </c>
      <c r="P45" s="31">
        <f t="shared" si="17"/>
        <v>0.02</v>
      </c>
      <c r="Q45" s="31">
        <f t="shared" si="17"/>
        <v>0.02</v>
      </c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5">
      <c r="A46" s="1"/>
      <c r="B46" s="1"/>
      <c r="C46" s="1" t="s">
        <v>27</v>
      </c>
      <c r="D46" s="1"/>
      <c r="E46" s="1"/>
      <c r="F46" s="1"/>
      <c r="G46" s="28">
        <f t="shared" ref="G46:Q46" si="18">G34</f>
        <v>0.5</v>
      </c>
      <c r="H46" s="38">
        <f t="shared" si="18"/>
        <v>0.53</v>
      </c>
      <c r="I46" s="38">
        <f t="shared" si="18"/>
        <v>0.56003333333333327</v>
      </c>
      <c r="J46" s="38">
        <f t="shared" si="18"/>
        <v>0.58990177777777764</v>
      </c>
      <c r="K46" s="38">
        <f t="shared" si="18"/>
        <v>0.6193968666666666</v>
      </c>
      <c r="L46" s="38">
        <f t="shared" si="18"/>
        <v>0.64830205377777772</v>
      </c>
      <c r="M46" s="38">
        <f t="shared" si="18"/>
        <v>0.67639514277481472</v>
      </c>
      <c r="N46" s="38">
        <f t="shared" si="18"/>
        <v>0.70345094848580725</v>
      </c>
      <c r="O46" s="38">
        <f t="shared" si="18"/>
        <v>0.72924414993028697</v>
      </c>
      <c r="P46" s="38">
        <f t="shared" si="18"/>
        <v>0.75355228826129639</v>
      </c>
      <c r="Q46" s="38">
        <f t="shared" si="18"/>
        <v>0.77615885690913533</v>
      </c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3"/>
      <c r="B47" s="3"/>
      <c r="C47" s="23" t="s">
        <v>21</v>
      </c>
      <c r="D47" s="3"/>
      <c r="E47" s="3"/>
      <c r="F47" s="3"/>
      <c r="G47" s="35">
        <f t="shared" ref="G47:Q47" si="19">G46/G27</f>
        <v>0.01</v>
      </c>
      <c r="H47" s="31">
        <f t="shared" si="19"/>
        <v>0.01</v>
      </c>
      <c r="I47" s="31">
        <f t="shared" si="19"/>
        <v>0.01</v>
      </c>
      <c r="J47" s="31">
        <f t="shared" si="19"/>
        <v>0.01</v>
      </c>
      <c r="K47" s="31">
        <f t="shared" si="19"/>
        <v>0.01</v>
      </c>
      <c r="L47" s="31">
        <f t="shared" si="19"/>
        <v>0.01</v>
      </c>
      <c r="M47" s="31">
        <f t="shared" si="19"/>
        <v>0.01</v>
      </c>
      <c r="N47" s="31">
        <f t="shared" si="19"/>
        <v>0.01</v>
      </c>
      <c r="O47" s="31">
        <f t="shared" si="19"/>
        <v>0.01</v>
      </c>
      <c r="P47" s="31">
        <f t="shared" si="19"/>
        <v>0.01</v>
      </c>
      <c r="Q47" s="31">
        <f t="shared" si="19"/>
        <v>0.01</v>
      </c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5">
      <c r="A48" s="1"/>
      <c r="B48" s="1"/>
      <c r="C48" s="1" t="s">
        <v>28</v>
      </c>
      <c r="D48" s="1"/>
      <c r="E48" s="1"/>
      <c r="F48" s="1"/>
      <c r="G48" s="28">
        <f>-D15</f>
        <v>-0.1</v>
      </c>
      <c r="H48" s="39">
        <f t="shared" ref="H48:Q48" si="20">H49*H27</f>
        <v>-0.106</v>
      </c>
      <c r="I48" s="39">
        <f t="shared" si="20"/>
        <v>-0.11200666666666666</v>
      </c>
      <c r="J48" s="39">
        <f t="shared" si="20"/>
        <v>-0.11798035555555554</v>
      </c>
      <c r="K48" s="39">
        <f t="shared" si="20"/>
        <v>-0.12387937333333332</v>
      </c>
      <c r="L48" s="39">
        <f t="shared" si="20"/>
        <v>-0.12966041075555554</v>
      </c>
      <c r="M48" s="39">
        <f t="shared" si="20"/>
        <v>-0.13527902855496293</v>
      </c>
      <c r="N48" s="39">
        <f t="shared" si="20"/>
        <v>-0.14069018969716146</v>
      </c>
      <c r="O48" s="39">
        <f t="shared" si="20"/>
        <v>-0.14584882998605739</v>
      </c>
      <c r="P48" s="39">
        <f t="shared" si="20"/>
        <v>-0.15071045765225927</v>
      </c>
      <c r="Q48" s="39">
        <f t="shared" si="20"/>
        <v>-0.15523177138182706</v>
      </c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3"/>
      <c r="B49" s="3"/>
      <c r="C49" s="23" t="s">
        <v>21</v>
      </c>
      <c r="D49" s="3"/>
      <c r="E49" s="3"/>
      <c r="F49" s="3"/>
      <c r="G49" s="30">
        <f>G48/G27</f>
        <v>-2E-3</v>
      </c>
      <c r="H49" s="31">
        <f t="shared" ref="H49:Q49" si="21">G49</f>
        <v>-2E-3</v>
      </c>
      <c r="I49" s="31">
        <f t="shared" si="21"/>
        <v>-2E-3</v>
      </c>
      <c r="J49" s="31">
        <f t="shared" si="21"/>
        <v>-2E-3</v>
      </c>
      <c r="K49" s="31">
        <f t="shared" si="21"/>
        <v>-2E-3</v>
      </c>
      <c r="L49" s="31">
        <f t="shared" si="21"/>
        <v>-2E-3</v>
      </c>
      <c r="M49" s="31">
        <f t="shared" si="21"/>
        <v>-2E-3</v>
      </c>
      <c r="N49" s="31">
        <f t="shared" si="21"/>
        <v>-2E-3</v>
      </c>
      <c r="O49" s="31">
        <f t="shared" si="21"/>
        <v>-2E-3</v>
      </c>
      <c r="P49" s="31">
        <f t="shared" si="21"/>
        <v>-2E-3</v>
      </c>
      <c r="Q49" s="31">
        <f t="shared" si="21"/>
        <v>-2E-3</v>
      </c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5">
      <c r="A50" s="1"/>
      <c r="B50" s="1"/>
      <c r="C50" s="1" t="s">
        <v>29</v>
      </c>
      <c r="D50" s="1"/>
      <c r="E50" s="1"/>
      <c r="F50" s="1"/>
      <c r="G50" s="40">
        <v>0</v>
      </c>
      <c r="H50" s="38">
        <f t="shared" ref="H50:Q50" si="22">G57-H57</f>
        <v>-3.0000000000000027E-2</v>
      </c>
      <c r="I50" s="38">
        <f t="shared" si="22"/>
        <v>-3.0033333333333245E-2</v>
      </c>
      <c r="J50" s="38">
        <f t="shared" si="22"/>
        <v>-2.9868444444444364E-2</v>
      </c>
      <c r="K50" s="38">
        <f t="shared" si="22"/>
        <v>-2.9495088888888965E-2</v>
      </c>
      <c r="L50" s="38">
        <f t="shared" si="22"/>
        <v>-2.8905187111111119E-2</v>
      </c>
      <c r="M50" s="38">
        <f t="shared" si="22"/>
        <v>-2.8093088997036997E-2</v>
      </c>
      <c r="N50" s="38">
        <f t="shared" si="22"/>
        <v>-2.7055805710992531E-2</v>
      </c>
      <c r="O50" s="38">
        <f t="shared" si="22"/>
        <v>-2.5793201444479719E-2</v>
      </c>
      <c r="P50" s="38">
        <f t="shared" si="22"/>
        <v>-2.4308138331009421E-2</v>
      </c>
      <c r="Q50" s="38">
        <f t="shared" si="22"/>
        <v>-2.2606568647838943E-2</v>
      </c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3"/>
      <c r="B51" s="3"/>
      <c r="C51" s="23" t="s">
        <v>21</v>
      </c>
      <c r="D51" s="3"/>
      <c r="E51" s="3"/>
      <c r="F51" s="3"/>
      <c r="G51" s="35">
        <f t="shared" ref="G51:Q51" si="23">G50/G27</f>
        <v>0</v>
      </c>
      <c r="H51" s="31">
        <f t="shared" si="23"/>
        <v>-5.6603773584905706E-4</v>
      </c>
      <c r="I51" s="31">
        <f t="shared" si="23"/>
        <v>-5.3627760252365775E-4</v>
      </c>
      <c r="J51" s="31">
        <f t="shared" si="23"/>
        <v>-5.0632911392404936E-4</v>
      </c>
      <c r="K51" s="31">
        <f t="shared" si="23"/>
        <v>-4.7619047619047749E-4</v>
      </c>
      <c r="L51" s="31">
        <f t="shared" si="23"/>
        <v>-4.4585987261146513E-4</v>
      </c>
      <c r="M51" s="31">
        <f t="shared" si="23"/>
        <v>-4.1533546325878541E-4</v>
      </c>
      <c r="N51" s="31">
        <f t="shared" si="23"/>
        <v>-3.846153846153838E-4</v>
      </c>
      <c r="O51" s="31">
        <f t="shared" si="23"/>
        <v>-3.536977491961431E-4</v>
      </c>
      <c r="P51" s="31">
        <f t="shared" si="23"/>
        <v>-3.2258064516128848E-4</v>
      </c>
      <c r="Q51" s="31">
        <f t="shared" si="23"/>
        <v>-2.9126213592233077E-4</v>
      </c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5">
      <c r="A52" s="1"/>
      <c r="B52" s="1"/>
      <c r="C52" s="1" t="s">
        <v>30</v>
      </c>
      <c r="D52" s="1"/>
      <c r="E52" s="1"/>
      <c r="F52" s="1"/>
      <c r="G52" s="40">
        <v>0</v>
      </c>
      <c r="H52" s="39">
        <f t="shared" ref="H52:Q52" si="24">G52</f>
        <v>0</v>
      </c>
      <c r="I52" s="39">
        <f t="shared" si="24"/>
        <v>0</v>
      </c>
      <c r="J52" s="39">
        <f t="shared" si="24"/>
        <v>0</v>
      </c>
      <c r="K52" s="39">
        <f t="shared" si="24"/>
        <v>0</v>
      </c>
      <c r="L52" s="39">
        <f t="shared" si="24"/>
        <v>0</v>
      </c>
      <c r="M52" s="39">
        <f t="shared" si="24"/>
        <v>0</v>
      </c>
      <c r="N52" s="39">
        <f t="shared" si="24"/>
        <v>0</v>
      </c>
      <c r="O52" s="39">
        <f t="shared" si="24"/>
        <v>0</v>
      </c>
      <c r="P52" s="39">
        <f t="shared" si="24"/>
        <v>0</v>
      </c>
      <c r="Q52" s="39">
        <f t="shared" si="24"/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3"/>
      <c r="B53" s="3"/>
      <c r="C53" s="23" t="s">
        <v>21</v>
      </c>
      <c r="D53" s="3"/>
      <c r="E53" s="3"/>
      <c r="F53" s="3"/>
      <c r="G53" s="32">
        <f t="shared" ref="G53:Q53" si="25">G52/G27</f>
        <v>0</v>
      </c>
      <c r="H53" s="33">
        <f t="shared" si="25"/>
        <v>0</v>
      </c>
      <c r="I53" s="33">
        <f t="shared" si="25"/>
        <v>0</v>
      </c>
      <c r="J53" s="33">
        <f t="shared" si="25"/>
        <v>0</v>
      </c>
      <c r="K53" s="33">
        <f t="shared" si="25"/>
        <v>0</v>
      </c>
      <c r="L53" s="33">
        <f t="shared" si="25"/>
        <v>0</v>
      </c>
      <c r="M53" s="33">
        <f t="shared" si="25"/>
        <v>0</v>
      </c>
      <c r="N53" s="33">
        <f t="shared" si="25"/>
        <v>0</v>
      </c>
      <c r="O53" s="33">
        <f t="shared" si="25"/>
        <v>0</v>
      </c>
      <c r="P53" s="33">
        <f t="shared" si="25"/>
        <v>0</v>
      </c>
      <c r="Q53" s="33">
        <f t="shared" si="25"/>
        <v>0</v>
      </c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5">
      <c r="A54" s="1"/>
      <c r="B54" s="1"/>
      <c r="C54" s="1" t="s">
        <v>31</v>
      </c>
      <c r="D54" s="1"/>
      <c r="E54" s="1"/>
      <c r="F54" s="1"/>
      <c r="G54" s="34">
        <f t="shared" ref="G54:Q54" si="26">G41+G44+G46+G48+G50+G52</f>
        <v>8.2000000000000011</v>
      </c>
      <c r="H54" s="29">
        <f t="shared" si="26"/>
        <v>8.6620000000000008</v>
      </c>
      <c r="I54" s="29">
        <f t="shared" si="26"/>
        <v>9.1545133333333339</v>
      </c>
      <c r="J54" s="29">
        <f t="shared" si="26"/>
        <v>9.6445207111111095</v>
      </c>
      <c r="K54" s="29">
        <f t="shared" si="26"/>
        <v>10.128613524444447</v>
      </c>
      <c r="L54" s="29">
        <f t="shared" si="26"/>
        <v>10.603248494844445</v>
      </c>
      <c r="M54" s="29">
        <f t="shared" si="26"/>
        <v>11.064787252509923</v>
      </c>
      <c r="N54" s="29">
        <f t="shared" si="26"/>
        <v>11.509539749456248</v>
      </c>
      <c r="O54" s="29">
        <f t="shared" si="26"/>
        <v>11.933810857412226</v>
      </c>
      <c r="P54" s="29">
        <f t="shared" si="26"/>
        <v>12.333949389154251</v>
      </c>
      <c r="Q54" s="29">
        <f t="shared" si="26"/>
        <v>12.706398684661981</v>
      </c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3"/>
      <c r="B55" s="3"/>
      <c r="C55" s="23" t="s">
        <v>21</v>
      </c>
      <c r="D55" s="3"/>
      <c r="E55" s="3"/>
      <c r="F55" s="3"/>
      <c r="G55" s="35">
        <f t="shared" ref="G55:Q55" si="27">G54/G27</f>
        <v>0.16400000000000003</v>
      </c>
      <c r="H55" s="31">
        <f t="shared" si="27"/>
        <v>0.16343396226415097</v>
      </c>
      <c r="I55" s="31">
        <f t="shared" si="27"/>
        <v>0.16346372239747636</v>
      </c>
      <c r="J55" s="31">
        <f t="shared" si="27"/>
        <v>0.16349367088607594</v>
      </c>
      <c r="K55" s="31">
        <f t="shared" si="27"/>
        <v>0.16352380952380957</v>
      </c>
      <c r="L55" s="31">
        <f t="shared" si="27"/>
        <v>0.16355414012738856</v>
      </c>
      <c r="M55" s="31">
        <f t="shared" si="27"/>
        <v>0.1635846645367412</v>
      </c>
      <c r="N55" s="31">
        <f t="shared" si="27"/>
        <v>0.16361538461538463</v>
      </c>
      <c r="O55" s="31">
        <f t="shared" si="27"/>
        <v>0.16364630225080387</v>
      </c>
      <c r="P55" s="31">
        <f t="shared" si="27"/>
        <v>0.1636774193548387</v>
      </c>
      <c r="Q55" s="31">
        <f t="shared" si="27"/>
        <v>0.16370873786407766</v>
      </c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5">
      <c r="A56" s="3"/>
      <c r="B56" s="3"/>
      <c r="C56" s="23"/>
      <c r="D56" s="3"/>
      <c r="E56" s="3"/>
      <c r="F56" s="3"/>
      <c r="G56" s="35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5">
      <c r="A57" s="1"/>
      <c r="B57" s="1"/>
      <c r="C57" s="1" t="s">
        <v>32</v>
      </c>
      <c r="D57" s="1"/>
      <c r="E57" s="1"/>
      <c r="F57" s="1"/>
      <c r="G57" s="28">
        <f>D16</f>
        <v>0.5</v>
      </c>
      <c r="H57" s="39">
        <f t="shared" ref="H57:Q57" si="28">H58*H27</f>
        <v>0.53</v>
      </c>
      <c r="I57" s="39">
        <f t="shared" si="28"/>
        <v>0.56003333333333327</v>
      </c>
      <c r="J57" s="39">
        <f t="shared" si="28"/>
        <v>0.58990177777777764</v>
      </c>
      <c r="K57" s="39">
        <f t="shared" si="28"/>
        <v>0.6193968666666666</v>
      </c>
      <c r="L57" s="39">
        <f t="shared" si="28"/>
        <v>0.64830205377777772</v>
      </c>
      <c r="M57" s="39">
        <f t="shared" si="28"/>
        <v>0.67639514277481472</v>
      </c>
      <c r="N57" s="39">
        <f t="shared" si="28"/>
        <v>0.70345094848580725</v>
      </c>
      <c r="O57" s="39">
        <f t="shared" si="28"/>
        <v>0.72924414993028697</v>
      </c>
      <c r="P57" s="39">
        <f t="shared" si="28"/>
        <v>0.75355228826129639</v>
      </c>
      <c r="Q57" s="39">
        <f t="shared" si="28"/>
        <v>0.77615885690913533</v>
      </c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3"/>
      <c r="B58" s="3"/>
      <c r="C58" s="41" t="s">
        <v>21</v>
      </c>
      <c r="D58" s="42"/>
      <c r="E58" s="42"/>
      <c r="F58" s="42"/>
      <c r="G58" s="43">
        <f>G57/G27</f>
        <v>0.01</v>
      </c>
      <c r="H58" s="44">
        <f t="shared" ref="H58:Q58" si="29">G58</f>
        <v>0.01</v>
      </c>
      <c r="I58" s="44">
        <f t="shared" si="29"/>
        <v>0.01</v>
      </c>
      <c r="J58" s="44">
        <f t="shared" si="29"/>
        <v>0.01</v>
      </c>
      <c r="K58" s="44">
        <f t="shared" si="29"/>
        <v>0.01</v>
      </c>
      <c r="L58" s="44">
        <f t="shared" si="29"/>
        <v>0.01</v>
      </c>
      <c r="M58" s="44">
        <f t="shared" si="29"/>
        <v>0.01</v>
      </c>
      <c r="N58" s="44">
        <f t="shared" si="29"/>
        <v>0.01</v>
      </c>
      <c r="O58" s="44">
        <f t="shared" si="29"/>
        <v>0.01</v>
      </c>
      <c r="P58" s="44">
        <f t="shared" si="29"/>
        <v>0.01</v>
      </c>
      <c r="Q58" s="44">
        <f t="shared" si="29"/>
        <v>0.01</v>
      </c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5">
      <c r="A59" s="3"/>
      <c r="B59" s="3"/>
      <c r="C59" s="23"/>
      <c r="D59" s="3"/>
      <c r="E59" s="3"/>
      <c r="F59" s="3"/>
      <c r="G59" s="27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5">
      <c r="A60" s="3"/>
      <c r="B60" s="3"/>
      <c r="C60" s="3"/>
      <c r="D60" s="3"/>
      <c r="E60" s="3"/>
      <c r="F60" s="3"/>
      <c r="G60" s="27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5">
      <c r="A61" s="3"/>
      <c r="B61" s="3"/>
      <c r="C61" s="45"/>
      <c r="D61" s="3"/>
      <c r="E61" s="3"/>
      <c r="G61" s="27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39.950000000000003" customHeight="1" x14ac:dyDescent="0.7">
      <c r="A62" s="1"/>
      <c r="B62" s="1"/>
      <c r="D62" s="1"/>
      <c r="E62" s="1"/>
      <c r="F62" s="3"/>
      <c r="G62" s="82" t="s">
        <v>60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1"/>
      <c r="B65" s="1"/>
      <c r="C65" s="5" t="s">
        <v>33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1"/>
      <c r="B66" s="1"/>
      <c r="C66" s="1"/>
      <c r="D66" s="1"/>
      <c r="E66" s="1"/>
      <c r="F66" s="1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1"/>
      <c r="B67" s="1"/>
      <c r="C67" s="1" t="s">
        <v>34</v>
      </c>
      <c r="D67" s="1"/>
      <c r="E67" s="1"/>
      <c r="F67" s="1"/>
      <c r="G67" s="29"/>
      <c r="H67" s="29">
        <f>(H26-D8)/365/2</f>
        <v>0.5</v>
      </c>
      <c r="I67" s="29">
        <f t="shared" ref="I67:Q67" si="30">(I26-H26)/365+H67</f>
        <v>1.5027397260273974</v>
      </c>
      <c r="J67" s="29">
        <f t="shared" si="30"/>
        <v>2.5027397260273974</v>
      </c>
      <c r="K67" s="29">
        <f t="shared" si="30"/>
        <v>3.5027397260273974</v>
      </c>
      <c r="L67" s="29">
        <f t="shared" si="30"/>
        <v>4.5027397260273974</v>
      </c>
      <c r="M67" s="29">
        <f t="shared" si="30"/>
        <v>5.5054794520547947</v>
      </c>
      <c r="N67" s="29">
        <f t="shared" si="30"/>
        <v>6.5054794520547947</v>
      </c>
      <c r="O67" s="29">
        <f t="shared" si="30"/>
        <v>7.5054794520547947</v>
      </c>
      <c r="P67" s="29">
        <f t="shared" si="30"/>
        <v>8.5054794520547947</v>
      </c>
      <c r="Q67" s="29">
        <f t="shared" si="30"/>
        <v>9.508219178082193</v>
      </c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1"/>
      <c r="B68" s="1"/>
      <c r="C68" s="47" t="s">
        <v>35</v>
      </c>
      <c r="D68" s="47"/>
      <c r="E68" s="47"/>
      <c r="F68" s="47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1"/>
      <c r="B69" s="1"/>
      <c r="C69" s="16">
        <f>$D$18-$D$84</f>
        <v>0.13</v>
      </c>
      <c r="D69" s="1"/>
      <c r="E69" s="1"/>
      <c r="F69" s="1"/>
      <c r="G69" s="29"/>
      <c r="H69" s="29">
        <f t="shared" ref="H69:Q71" si="31">H$54/(1+$C69)^H$67</f>
        <v>8.1485241619387221</v>
      </c>
      <c r="I69" s="29">
        <f t="shared" si="31"/>
        <v>7.6185474352525677</v>
      </c>
      <c r="J69" s="29">
        <f t="shared" si="31"/>
        <v>7.1029559436174834</v>
      </c>
      <c r="K69" s="29">
        <f t="shared" si="31"/>
        <v>6.6013084755966167</v>
      </c>
      <c r="L69" s="29">
        <f t="shared" si="31"/>
        <v>6.1156204393060003</v>
      </c>
      <c r="M69" s="29">
        <f t="shared" si="31"/>
        <v>5.6457388829325996</v>
      </c>
      <c r="N69" s="29">
        <f t="shared" si="31"/>
        <v>5.1970540518173376</v>
      </c>
      <c r="O69" s="29">
        <f t="shared" si="31"/>
        <v>4.7686997985883011</v>
      </c>
      <c r="P69" s="29">
        <f t="shared" si="31"/>
        <v>4.3615871196281981</v>
      </c>
      <c r="Q69" s="29">
        <f t="shared" si="31"/>
        <v>3.9750354275291788</v>
      </c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1"/>
      <c r="B70" s="1"/>
      <c r="C70" s="16">
        <f>$D$18</f>
        <v>0.15</v>
      </c>
      <c r="D70" s="1"/>
      <c r="E70" s="1"/>
      <c r="F70" s="1"/>
      <c r="G70" s="29"/>
      <c r="H70" s="29">
        <f t="shared" si="31"/>
        <v>8.0773566489775988</v>
      </c>
      <c r="I70" s="29">
        <f t="shared" si="31"/>
        <v>7.4203126703611275</v>
      </c>
      <c r="J70" s="29">
        <f t="shared" si="31"/>
        <v>6.7978214562052637</v>
      </c>
      <c r="K70" s="29">
        <f t="shared" si="31"/>
        <v>6.2078506993957685</v>
      </c>
      <c r="L70" s="29">
        <f t="shared" si="31"/>
        <v>5.6510918022516101</v>
      </c>
      <c r="M70" s="29">
        <f t="shared" si="31"/>
        <v>5.1259262701154382</v>
      </c>
      <c r="N70" s="29">
        <f t="shared" si="31"/>
        <v>4.6364908167726115</v>
      </c>
      <c r="O70" s="29">
        <f t="shared" si="31"/>
        <v>4.1803510791885268</v>
      </c>
      <c r="P70" s="29">
        <f t="shared" si="31"/>
        <v>3.7569717382901562</v>
      </c>
      <c r="Q70" s="29">
        <f t="shared" si="31"/>
        <v>3.3642952949656362</v>
      </c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1"/>
      <c r="B71" s="1"/>
      <c r="C71" s="16">
        <f>$D$18+$D$84</f>
        <v>0.16999999999999998</v>
      </c>
      <c r="D71" s="1"/>
      <c r="E71" s="1"/>
      <c r="F71" s="1"/>
      <c r="G71" s="29"/>
      <c r="H71" s="29">
        <f t="shared" si="31"/>
        <v>8.0080218328382262</v>
      </c>
      <c r="I71" s="29">
        <f t="shared" si="31"/>
        <v>7.2305221080383708</v>
      </c>
      <c r="J71" s="29">
        <f t="shared" si="31"/>
        <v>6.5107224979590024</v>
      </c>
      <c r="K71" s="29">
        <f t="shared" si="31"/>
        <v>5.8440331861009422</v>
      </c>
      <c r="L71" s="29">
        <f t="shared" si="31"/>
        <v>5.2289651950524911</v>
      </c>
      <c r="M71" s="29">
        <f t="shared" si="31"/>
        <v>4.6617309761945576</v>
      </c>
      <c r="N71" s="29">
        <f t="shared" si="31"/>
        <v>4.144539037614388</v>
      </c>
      <c r="O71" s="29">
        <f t="shared" si="31"/>
        <v>3.6729208201491694</v>
      </c>
      <c r="P71" s="29">
        <f t="shared" si="31"/>
        <v>3.2445070039919126</v>
      </c>
      <c r="Q71" s="29">
        <f t="shared" si="31"/>
        <v>2.8555933347861568</v>
      </c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1"/>
      <c r="B72" s="1"/>
      <c r="C72" s="1"/>
      <c r="D72" s="1"/>
      <c r="E72" s="1"/>
      <c r="F72" s="1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1"/>
      <c r="B73" s="1"/>
      <c r="C73" s="1" t="s">
        <v>36</v>
      </c>
      <c r="D73" s="1"/>
      <c r="E73" s="1"/>
      <c r="F73" s="1"/>
      <c r="G73" s="1"/>
      <c r="H73" s="49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1"/>
      <c r="B74" s="1"/>
      <c r="C74" s="50">
        <f t="shared" ref="C74:C76" si="32">C69</f>
        <v>0.13</v>
      </c>
      <c r="D74" s="51"/>
      <c r="E74" s="51"/>
      <c r="F74" s="51"/>
      <c r="G74" s="52">
        <f t="shared" ref="G74:G76" si="33">SUM(H69:Q69)</f>
        <v>59.535071736207009</v>
      </c>
      <c r="H74" s="53"/>
      <c r="I74" s="5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1"/>
      <c r="B75" s="1"/>
      <c r="C75" s="50">
        <f t="shared" si="32"/>
        <v>0.15</v>
      </c>
      <c r="D75" s="51"/>
      <c r="E75" s="51"/>
      <c r="F75" s="51"/>
      <c r="G75" s="52">
        <f t="shared" si="33"/>
        <v>55.218468476523739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1"/>
      <c r="B76" s="1"/>
      <c r="C76" s="50">
        <f t="shared" si="32"/>
        <v>0.16999999999999998</v>
      </c>
      <c r="D76" s="51"/>
      <c r="E76" s="51"/>
      <c r="F76" s="51"/>
      <c r="G76" s="52">
        <f t="shared" si="33"/>
        <v>51.401555992725214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1"/>
      <c r="B78" s="1"/>
      <c r="C78" s="5" t="s">
        <v>37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1"/>
      <c r="B80" s="1"/>
      <c r="C80" s="1" t="s">
        <v>38</v>
      </c>
      <c r="D80" s="55">
        <f>Q30</f>
        <v>15.523177138182707</v>
      </c>
      <c r="E80" s="49"/>
      <c r="F80" s="49"/>
      <c r="G80" s="47" t="s">
        <v>39</v>
      </c>
      <c r="H80" s="47"/>
      <c r="I80" s="47"/>
      <c r="J80" s="47"/>
      <c r="K80" s="47"/>
      <c r="L80" s="1"/>
      <c r="M80" s="47" t="s">
        <v>40</v>
      </c>
      <c r="N80" s="47"/>
      <c r="O80" s="47"/>
      <c r="P80" s="47"/>
      <c r="Q80" s="47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1"/>
      <c r="B81" s="1"/>
      <c r="C81" s="1" t="s">
        <v>41</v>
      </c>
      <c r="D81" s="55">
        <f>Q54</f>
        <v>12.706398684661981</v>
      </c>
      <c r="E81" s="49"/>
      <c r="F81" s="49"/>
      <c r="G81" s="1"/>
      <c r="H81" s="1"/>
      <c r="I81" s="88" t="s">
        <v>42</v>
      </c>
      <c r="J81" s="89"/>
      <c r="K81" s="89"/>
      <c r="L81" s="1"/>
      <c r="M81" s="1"/>
      <c r="N81" s="1"/>
      <c r="O81" s="88" t="s">
        <v>42</v>
      </c>
      <c r="P81" s="89"/>
      <c r="Q81" s="89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1"/>
      <c r="B82" s="1"/>
      <c r="C82" s="1" t="s">
        <v>43</v>
      </c>
      <c r="D82" s="55">
        <f>Q67</f>
        <v>9.508219178082193</v>
      </c>
      <c r="E82" s="56"/>
      <c r="F82" s="56"/>
      <c r="G82" s="1"/>
      <c r="H82" s="1"/>
      <c r="I82" s="16">
        <f>$D$85-$D$86</f>
        <v>1.9999999999999997E-2</v>
      </c>
      <c r="J82" s="16">
        <f>$D$85</f>
        <v>0.03</v>
      </c>
      <c r="K82" s="16">
        <f>$D$85+$D$86</f>
        <v>0.04</v>
      </c>
      <c r="L82" s="1"/>
      <c r="M82" s="1"/>
      <c r="N82" s="1"/>
      <c r="O82" s="16">
        <f>$D$85-$D$86</f>
        <v>1.9999999999999997E-2</v>
      </c>
      <c r="P82" s="16">
        <f>$D$85</f>
        <v>0.03</v>
      </c>
      <c r="Q82" s="16">
        <f>$D$85+$D$86</f>
        <v>0.04</v>
      </c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1"/>
      <c r="B83" s="1"/>
      <c r="C83" s="1" t="s">
        <v>12</v>
      </c>
      <c r="D83" s="56">
        <f>D18</f>
        <v>0.15</v>
      </c>
      <c r="E83" s="56"/>
      <c r="F83" s="56"/>
      <c r="G83" s="83" t="s">
        <v>12</v>
      </c>
      <c r="H83" s="16">
        <f>$D$18-$D$84</f>
        <v>0.13</v>
      </c>
      <c r="I83" s="57">
        <f t="shared" ref="I83:K85" si="34">($D$81*(1+I$82))/($H83-I$82)</f>
        <v>117.82296962141108</v>
      </c>
      <c r="J83" s="58">
        <f t="shared" si="34"/>
        <v>130.8759064520184</v>
      </c>
      <c r="K83" s="37">
        <f t="shared" si="34"/>
        <v>146.82949591164956</v>
      </c>
      <c r="L83" s="1"/>
      <c r="M83" s="83" t="s">
        <v>12</v>
      </c>
      <c r="N83" s="16">
        <f>$D$18-$D$84</f>
        <v>0.13</v>
      </c>
      <c r="O83" s="57">
        <f t="shared" ref="O83:Q85" si="35">I83/((1+$N83)^$D$82)</f>
        <v>36.859419418906931</v>
      </c>
      <c r="P83" s="58">
        <f t="shared" si="35"/>
        <v>40.942864903550543</v>
      </c>
      <c r="Q83" s="37">
        <f t="shared" si="35"/>
        <v>45.933742718114956</v>
      </c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1"/>
      <c r="B84" s="1"/>
      <c r="C84" s="1" t="s">
        <v>44</v>
      </c>
      <c r="D84" s="59">
        <v>0.02</v>
      </c>
      <c r="E84" s="56"/>
      <c r="F84" s="56"/>
      <c r="G84" s="84"/>
      <c r="H84" s="16">
        <f>$D$18</f>
        <v>0.15</v>
      </c>
      <c r="I84" s="60">
        <f t="shared" si="34"/>
        <v>99.696358910424777</v>
      </c>
      <c r="J84" s="29">
        <f t="shared" si="34"/>
        <v>109.06325537668201</v>
      </c>
      <c r="K84" s="34">
        <f t="shared" si="34"/>
        <v>120.1332239277133</v>
      </c>
      <c r="L84" s="1"/>
      <c r="M84" s="84"/>
      <c r="N84" s="16">
        <f>$D$18</f>
        <v>0.15</v>
      </c>
      <c r="O84" s="60">
        <f t="shared" si="35"/>
        <v>26.396778468191918</v>
      </c>
      <c r="P84" s="29">
        <f t="shared" si="35"/>
        <v>28.876867948455047</v>
      </c>
      <c r="Q84" s="34">
        <f t="shared" si="35"/>
        <v>31.807882788766026</v>
      </c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1"/>
      <c r="B85" s="1"/>
      <c r="C85" s="1" t="s">
        <v>42</v>
      </c>
      <c r="D85" s="56">
        <f>D20</f>
        <v>0.03</v>
      </c>
      <c r="E85" s="56"/>
      <c r="F85" s="56"/>
      <c r="G85" s="84"/>
      <c r="H85" s="16">
        <f>$D$18+$D$84</f>
        <v>0.16999999999999998</v>
      </c>
      <c r="I85" s="61">
        <f t="shared" si="34"/>
        <v>86.403511055701472</v>
      </c>
      <c r="J85" s="62">
        <f t="shared" si="34"/>
        <v>93.482790322870301</v>
      </c>
      <c r="K85" s="63">
        <f t="shared" si="34"/>
        <v>101.65118947729587</v>
      </c>
      <c r="L85" s="1"/>
      <c r="M85" s="84"/>
      <c r="N85" s="16">
        <f>$D$18+$D$84</f>
        <v>0.16999999999999998</v>
      </c>
      <c r="O85" s="61">
        <f t="shared" si="35"/>
        <v>19.418034676545869</v>
      </c>
      <c r="P85" s="62">
        <f t="shared" si="35"/>
        <v>21.009008105926728</v>
      </c>
      <c r="Q85" s="63">
        <f t="shared" si="35"/>
        <v>22.844746678289262</v>
      </c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1"/>
      <c r="B86" s="1"/>
      <c r="C86" s="1" t="s">
        <v>45</v>
      </c>
      <c r="D86" s="59">
        <v>0.01</v>
      </c>
      <c r="E86" s="56"/>
      <c r="F86" s="56"/>
      <c r="G86" s="1"/>
      <c r="H86" s="16"/>
      <c r="I86" s="29"/>
      <c r="J86" s="29"/>
      <c r="K86" s="29"/>
      <c r="L86" s="1"/>
      <c r="M86" s="1"/>
      <c r="N86" s="16"/>
      <c r="O86" s="29"/>
      <c r="P86" s="29"/>
      <c r="Q86" s="29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1"/>
      <c r="B87" s="1"/>
      <c r="C87" s="1"/>
      <c r="D87" s="56"/>
      <c r="E87" s="56"/>
      <c r="F87" s="56"/>
      <c r="G87" s="47" t="s">
        <v>46</v>
      </c>
      <c r="H87" s="47"/>
      <c r="I87" s="47"/>
      <c r="J87" s="47"/>
      <c r="K87" s="47"/>
      <c r="L87" s="1"/>
      <c r="M87" s="1"/>
      <c r="N87" s="16"/>
      <c r="O87" s="29"/>
      <c r="P87" s="29"/>
      <c r="Q87" s="29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1"/>
      <c r="B88" s="1"/>
      <c r="C88" s="1"/>
      <c r="D88" s="56"/>
      <c r="E88" s="56"/>
      <c r="F88" s="56"/>
      <c r="G88" s="1"/>
      <c r="H88" s="1"/>
      <c r="I88" s="88" t="s">
        <v>42</v>
      </c>
      <c r="J88" s="89"/>
      <c r="K88" s="89"/>
      <c r="L88" s="1"/>
      <c r="M88" s="1"/>
      <c r="N88" s="16"/>
      <c r="O88" s="29"/>
      <c r="P88" s="29"/>
      <c r="Q88" s="29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1"/>
      <c r="B89" s="1"/>
      <c r="C89" s="1"/>
      <c r="D89" s="56"/>
      <c r="E89" s="56"/>
      <c r="F89" s="56"/>
      <c r="G89" s="1"/>
      <c r="H89" s="1"/>
      <c r="I89" s="16">
        <f>$D$85-$D$86</f>
        <v>1.9999999999999997E-2</v>
      </c>
      <c r="J89" s="16">
        <f>$D$85</f>
        <v>0.03</v>
      </c>
      <c r="K89" s="16">
        <f>$D$85+$D$86</f>
        <v>0.04</v>
      </c>
      <c r="L89" s="1"/>
      <c r="M89" s="1"/>
      <c r="N89" s="16"/>
      <c r="O89" s="29"/>
      <c r="P89" s="29"/>
      <c r="Q89" s="29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1"/>
      <c r="B90" s="1"/>
      <c r="C90" s="1"/>
      <c r="D90" s="56"/>
      <c r="E90" s="56"/>
      <c r="F90" s="56"/>
      <c r="G90" s="83" t="s">
        <v>12</v>
      </c>
      <c r="H90" s="16">
        <f>$D$18-$D$84</f>
        <v>0.13</v>
      </c>
      <c r="I90" s="64">
        <f>I83*(1+$H90)^0.5/D80</f>
        <v>8.0684214063644415</v>
      </c>
      <c r="J90" s="65">
        <f>J83*(1+$H90)^0.5/D80</f>
        <v>8.9622759347165815</v>
      </c>
      <c r="K90" s="66">
        <f>K83*(1+$H90)^0.5/D80</f>
        <v>10.054764802702531</v>
      </c>
      <c r="L90" s="17"/>
      <c r="M90" s="17"/>
      <c r="N90" s="17"/>
      <c r="O90" s="29"/>
      <c r="P90" s="29"/>
      <c r="Q90" s="29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1"/>
      <c r="B91" s="1"/>
      <c r="C91" s="1"/>
      <c r="D91" s="56"/>
      <c r="E91" s="56"/>
      <c r="F91" s="56"/>
      <c r="G91" s="84"/>
      <c r="H91" s="16">
        <f>$D$18</f>
        <v>0.15</v>
      </c>
      <c r="I91" s="67">
        <f>I84*(1+$H91)^0.5/D80</f>
        <v>6.8872778557845429</v>
      </c>
      <c r="J91" s="68">
        <f>J84*(1+$H91)^0.5/D80</f>
        <v>7.5343668700126658</v>
      </c>
      <c r="K91" s="69">
        <f>K84*(1+$H91)^0.5/D80</f>
        <v>8.2991084322822672</v>
      </c>
      <c r="L91" s="17"/>
      <c r="M91" s="17"/>
      <c r="N91" s="17"/>
      <c r="O91" s="29"/>
      <c r="P91" s="29"/>
      <c r="Q91" s="29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1"/>
      <c r="B92" s="1"/>
      <c r="C92" s="1"/>
      <c r="D92" s="56"/>
      <c r="E92" s="56"/>
      <c r="F92" s="56"/>
      <c r="G92" s="84"/>
      <c r="H92" s="16">
        <f>$D$18+$D$84</f>
        <v>0.16999999999999998</v>
      </c>
      <c r="I92" s="70">
        <f>I85*(1+$H92)^0.5/D80</f>
        <v>6.0206545358263357</v>
      </c>
      <c r="J92" s="71">
        <f>J85*(1+$H92)^0.5/D80</f>
        <v>6.5139434578793347</v>
      </c>
      <c r="K92" s="72">
        <f>K85*(1+$H92)^0.5/D80</f>
        <v>7.0831229833251017</v>
      </c>
      <c r="L92" s="17"/>
      <c r="M92" s="17"/>
      <c r="N92" s="17"/>
      <c r="O92" s="29"/>
      <c r="P92" s="29"/>
      <c r="Q92" s="29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1"/>
      <c r="B94" s="1"/>
      <c r="C94" s="5" t="s">
        <v>47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8" customHeight="1" x14ac:dyDescent="0.25">
      <c r="A96" s="1"/>
      <c r="B96" s="1"/>
      <c r="C96" s="1"/>
      <c r="D96" s="1"/>
      <c r="E96" s="1"/>
      <c r="F96" s="1"/>
      <c r="G96" s="85" t="str">
        <f>"Perpetual Growth Rate = "&amp;TEXT($I$82,"0.00%")</f>
        <v>Perpetual Growth Rate = 2.00%</v>
      </c>
      <c r="H96" s="86"/>
      <c r="I96" s="86"/>
      <c r="J96" s="1"/>
      <c r="K96" s="85" t="str">
        <f>"Perpetual Growth Rate = "&amp;TEXT($J$82,"0.00%")</f>
        <v>Perpetual Growth Rate = 3.00%</v>
      </c>
      <c r="L96" s="86"/>
      <c r="M96" s="86"/>
      <c r="N96" s="1"/>
      <c r="O96" s="85" t="str">
        <f>"Perpetual Growth Rate = "&amp;TEXT($K$82,"0.00%")</f>
        <v>Perpetual Growth Rate = 4.00%</v>
      </c>
      <c r="P96" s="86"/>
      <c r="Q96" s="86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1"/>
      <c r="B97" s="1"/>
      <c r="C97" s="1" t="s">
        <v>12</v>
      </c>
      <c r="D97" s="1"/>
      <c r="E97" s="1"/>
      <c r="F97" s="1"/>
      <c r="G97" s="16">
        <f>$D$18-$D$84</f>
        <v>0.13</v>
      </c>
      <c r="H97" s="16">
        <f>$D$18</f>
        <v>0.15</v>
      </c>
      <c r="I97" s="16">
        <f>$D$18+$D$84</f>
        <v>0.16999999999999998</v>
      </c>
      <c r="J97" s="1"/>
      <c r="K97" s="16">
        <f>$D$18-$D$84</f>
        <v>0.13</v>
      </c>
      <c r="L97" s="16">
        <f>$D$18</f>
        <v>0.15</v>
      </c>
      <c r="M97" s="16">
        <f>$D$18+$D$84</f>
        <v>0.16999999999999998</v>
      </c>
      <c r="N97" s="1"/>
      <c r="O97" s="16">
        <f>$D$18-$D$84</f>
        <v>0.13</v>
      </c>
      <c r="P97" s="16">
        <f>$D$18</f>
        <v>0.15</v>
      </c>
      <c r="Q97" s="16">
        <f>$D$18+$D$84</f>
        <v>0.16999999999999998</v>
      </c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1"/>
      <c r="B98" s="1"/>
      <c r="C98" s="47" t="s">
        <v>48</v>
      </c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1"/>
      <c r="B99" s="1"/>
      <c r="C99" s="1" t="s">
        <v>49</v>
      </c>
      <c r="D99" s="1"/>
      <c r="E99" s="1"/>
      <c r="F99" s="1"/>
      <c r="G99" s="49">
        <f>$G$74</f>
        <v>59.535071736207009</v>
      </c>
      <c r="H99" s="49">
        <f>$G$75</f>
        <v>55.218468476523739</v>
      </c>
      <c r="I99" s="49">
        <f>$G$76</f>
        <v>51.401555992725214</v>
      </c>
      <c r="J99" s="1"/>
      <c r="K99" s="49">
        <f>$G$74</f>
        <v>59.535071736207009</v>
      </c>
      <c r="L99" s="49">
        <f>$G$75</f>
        <v>55.218468476523739</v>
      </c>
      <c r="M99" s="49">
        <f>$G$76</f>
        <v>51.401555992725214</v>
      </c>
      <c r="N99" s="1"/>
      <c r="O99" s="49">
        <f>$G$74</f>
        <v>59.535071736207009</v>
      </c>
      <c r="P99" s="49">
        <f>$G$75</f>
        <v>55.218468476523739</v>
      </c>
      <c r="Q99" s="49">
        <f>$G$76</f>
        <v>51.401555992725214</v>
      </c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1"/>
      <c r="B100" s="1"/>
      <c r="C100" s="1" t="s">
        <v>50</v>
      </c>
      <c r="D100" s="1"/>
      <c r="E100" s="1"/>
      <c r="F100" s="1"/>
      <c r="G100" s="49">
        <f>O83</f>
        <v>36.859419418906931</v>
      </c>
      <c r="H100" s="49">
        <f>O84</f>
        <v>26.396778468191918</v>
      </c>
      <c r="I100" s="49">
        <f>O85</f>
        <v>19.418034676545869</v>
      </c>
      <c r="J100" s="1"/>
      <c r="K100" s="49">
        <f>P83</f>
        <v>40.942864903550543</v>
      </c>
      <c r="L100" s="49">
        <f>P84</f>
        <v>28.876867948455047</v>
      </c>
      <c r="M100" s="49">
        <f>P85</f>
        <v>21.009008105926728</v>
      </c>
      <c r="N100" s="1"/>
      <c r="O100" s="49">
        <f>Q83</f>
        <v>45.933742718114956</v>
      </c>
      <c r="P100" s="49">
        <f>Q84</f>
        <v>31.807882788766026</v>
      </c>
      <c r="Q100" s="49">
        <f>Q85</f>
        <v>22.844746678289262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1"/>
      <c r="B101" s="1"/>
      <c r="C101" s="73" t="s">
        <v>11</v>
      </c>
      <c r="D101" s="74"/>
      <c r="E101" s="74"/>
      <c r="F101" s="74"/>
      <c r="G101" s="75">
        <f t="shared" ref="G101:I101" si="36">G99+G100</f>
        <v>96.39449115511394</v>
      </c>
      <c r="H101" s="75">
        <f t="shared" si="36"/>
        <v>81.615246944715665</v>
      </c>
      <c r="I101" s="75">
        <f t="shared" si="36"/>
        <v>70.819590669271079</v>
      </c>
      <c r="J101" s="74"/>
      <c r="K101" s="75">
        <f t="shared" ref="K101:M101" si="37">K99+K100</f>
        <v>100.47793663975756</v>
      </c>
      <c r="L101" s="75">
        <f t="shared" si="37"/>
        <v>84.095336424978782</v>
      </c>
      <c r="M101" s="75">
        <f t="shared" si="37"/>
        <v>72.410564098651946</v>
      </c>
      <c r="N101" s="74"/>
      <c r="O101" s="75">
        <f t="shared" ref="O101:Q101" si="38">O99+O100</f>
        <v>105.46881445432197</v>
      </c>
      <c r="P101" s="75">
        <f t="shared" si="38"/>
        <v>87.026351265289762</v>
      </c>
      <c r="Q101" s="76">
        <f t="shared" si="38"/>
        <v>74.246302671014476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1"/>
      <c r="C102" s="47" t="s">
        <v>51</v>
      </c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1"/>
      <c r="C103" s="1" t="s">
        <v>52</v>
      </c>
      <c r="D103" s="1"/>
      <c r="E103" s="1"/>
      <c r="F103" s="1"/>
      <c r="G103" s="77">
        <f t="shared" ref="G103:I104" si="39">G99/G$101</f>
        <v>0.61761902597115936</v>
      </c>
      <c r="H103" s="77">
        <f t="shared" si="39"/>
        <v>0.67657050053316004</v>
      </c>
      <c r="I103" s="77">
        <f t="shared" si="39"/>
        <v>0.72580984310925378</v>
      </c>
      <c r="J103" s="77"/>
      <c r="K103" s="77">
        <f t="shared" ref="K103:M104" si="40">K99/K$101</f>
        <v>0.59251885266769999</v>
      </c>
      <c r="L103" s="77">
        <f t="shared" si="40"/>
        <v>0.65661748705630052</v>
      </c>
      <c r="M103" s="77">
        <f t="shared" si="40"/>
        <v>0.70986266482741223</v>
      </c>
      <c r="N103" s="77"/>
      <c r="O103" s="77">
        <f t="shared" ref="O103:Q104" si="41">O99/O$101</f>
        <v>0.56448033519890717</v>
      </c>
      <c r="P103" s="77">
        <f t="shared" si="41"/>
        <v>0.63450285659106431</v>
      </c>
      <c r="Q103" s="77">
        <f t="shared" si="41"/>
        <v>0.69231132249757432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1"/>
      <c r="C104" s="1" t="s">
        <v>53</v>
      </c>
      <c r="D104" s="1"/>
      <c r="E104" s="1"/>
      <c r="F104" s="1"/>
      <c r="G104" s="77">
        <f t="shared" si="39"/>
        <v>0.38238097402884064</v>
      </c>
      <c r="H104" s="77">
        <f t="shared" si="39"/>
        <v>0.32342949946683985</v>
      </c>
      <c r="I104" s="77">
        <f t="shared" si="39"/>
        <v>0.27419015689074627</v>
      </c>
      <c r="J104" s="77"/>
      <c r="K104" s="77">
        <f t="shared" si="40"/>
        <v>0.4074811473322999</v>
      </c>
      <c r="L104" s="77">
        <f t="shared" si="40"/>
        <v>0.34338251294369959</v>
      </c>
      <c r="M104" s="77">
        <f t="shared" si="40"/>
        <v>0.29013733517258772</v>
      </c>
      <c r="N104" s="77"/>
      <c r="O104" s="77">
        <f t="shared" si="41"/>
        <v>0.43551966480109278</v>
      </c>
      <c r="P104" s="77">
        <f t="shared" si="41"/>
        <v>0.36549714340893569</v>
      </c>
      <c r="Q104" s="77">
        <f t="shared" si="41"/>
        <v>0.30768867750242573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1"/>
      <c r="C105" s="47" t="s">
        <v>54</v>
      </c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1"/>
      <c r="C106" s="1" t="s">
        <v>56</v>
      </c>
      <c r="D106" s="1"/>
      <c r="E106" s="1"/>
      <c r="F106" s="1"/>
      <c r="G106" s="17">
        <f t="shared" ref="G106:I106" si="42">G101/$G$27</f>
        <v>1.9278898231022787</v>
      </c>
      <c r="H106" s="17">
        <f t="shared" si="42"/>
        <v>1.6323049388943134</v>
      </c>
      <c r="I106" s="17">
        <f t="shared" si="42"/>
        <v>1.4163918133854216</v>
      </c>
      <c r="J106" s="17"/>
      <c r="K106" s="17">
        <f t="shared" ref="K106:M106" si="43">K101/$G$27</f>
        <v>2.009558732795151</v>
      </c>
      <c r="L106" s="17">
        <f t="shared" si="43"/>
        <v>1.6819067284995757</v>
      </c>
      <c r="M106" s="17">
        <f t="shared" si="43"/>
        <v>1.4482112819730388</v>
      </c>
      <c r="N106" s="17"/>
      <c r="O106" s="17">
        <f t="shared" ref="O106:Q106" si="44">O101/$G$27</f>
        <v>2.1093762890864394</v>
      </c>
      <c r="P106" s="17">
        <f t="shared" si="44"/>
        <v>1.7405270253057952</v>
      </c>
      <c r="Q106" s="17">
        <f t="shared" si="44"/>
        <v>1.4849260534202895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1"/>
      <c r="C107" s="1" t="str">
        <f>"Company Value / "&amp;TEXT(H26,"yyyy")&amp;" Revenue"</f>
        <v>Company Value / 2019 Revenue</v>
      </c>
      <c r="D107" s="1"/>
      <c r="E107" s="1"/>
      <c r="F107" s="1"/>
      <c r="G107" s="17">
        <f t="shared" ref="G107:I107" si="45">G101/$H$27</f>
        <v>1.8187639840587535</v>
      </c>
      <c r="H107" s="17">
        <f t="shared" si="45"/>
        <v>1.5399103197116164</v>
      </c>
      <c r="I107" s="17">
        <f t="shared" si="45"/>
        <v>1.3362186918730392</v>
      </c>
      <c r="J107" s="17"/>
      <c r="K107" s="17">
        <f t="shared" ref="K107:M107" si="46">K101/$H$27</f>
        <v>1.8958101252784445</v>
      </c>
      <c r="L107" s="17">
        <f t="shared" si="46"/>
        <v>1.5867044608486562</v>
      </c>
      <c r="M107" s="17">
        <f t="shared" si="46"/>
        <v>1.3662370584651311</v>
      </c>
      <c r="N107" s="17"/>
      <c r="O107" s="17">
        <f t="shared" ref="O107:Q107" si="47">O101/$H$27</f>
        <v>1.9899776312136221</v>
      </c>
      <c r="P107" s="17">
        <f t="shared" si="47"/>
        <v>1.6420066276469767</v>
      </c>
      <c r="Q107" s="17">
        <f t="shared" si="47"/>
        <v>1.40087363530216</v>
      </c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1"/>
      <c r="C108" s="1" t="str">
        <f>"Company Value / "&amp;TEXT(G26,"yyyy")&amp;" EBITDA"</f>
        <v>Company Value / 2018 EBITDA</v>
      </c>
      <c r="D108" s="1"/>
      <c r="E108" s="1"/>
      <c r="F108" s="1"/>
      <c r="G108" s="17">
        <f t="shared" ref="G108:I108" si="48">G101/$G$30</f>
        <v>9.6394491155113933</v>
      </c>
      <c r="H108" s="17">
        <f t="shared" si="48"/>
        <v>8.1615246944715665</v>
      </c>
      <c r="I108" s="17">
        <f t="shared" si="48"/>
        <v>7.0819590669271077</v>
      </c>
      <c r="J108" s="17"/>
      <c r="K108" s="17">
        <f t="shared" ref="K108:M108" si="49">K101/$G$30</f>
        <v>10.047793663975757</v>
      </c>
      <c r="L108" s="17">
        <f t="shared" si="49"/>
        <v>8.4095336424978786</v>
      </c>
      <c r="M108" s="17">
        <f t="shared" si="49"/>
        <v>7.2410564098651946</v>
      </c>
      <c r="N108" s="17"/>
      <c r="O108" s="17">
        <f t="shared" ref="O108:Q108" si="50">O101/$G$30</f>
        <v>10.546881445432197</v>
      </c>
      <c r="P108" s="17">
        <f t="shared" si="50"/>
        <v>8.7026351265289765</v>
      </c>
      <c r="Q108" s="17">
        <f t="shared" si="50"/>
        <v>7.4246302671014472</v>
      </c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1"/>
      <c r="C109" s="1" t="str">
        <f>"Company Value / "&amp;TEXT(H26,"yyyy")&amp;" EBITDA"</f>
        <v>Company Value / 2019 EBITDA</v>
      </c>
      <c r="D109" s="1"/>
      <c r="E109" s="1"/>
      <c r="F109" s="1"/>
      <c r="G109" s="17">
        <f t="shared" ref="G109:I109" si="51">G101/$H$30</f>
        <v>9.0938199202937664</v>
      </c>
      <c r="H109" s="17">
        <f t="shared" si="51"/>
        <v>7.6995515985580809</v>
      </c>
      <c r="I109" s="17">
        <f t="shared" si="51"/>
        <v>6.6810934593651954</v>
      </c>
      <c r="J109" s="17"/>
      <c r="K109" s="17">
        <f t="shared" ref="K109:M109" si="52">K101/$H$30</f>
        <v>9.4790506263922207</v>
      </c>
      <c r="L109" s="17">
        <f t="shared" si="52"/>
        <v>7.9335223042432803</v>
      </c>
      <c r="M109" s="17">
        <f t="shared" si="52"/>
        <v>6.831185292325654</v>
      </c>
      <c r="N109" s="17"/>
      <c r="O109" s="17">
        <f t="shared" ref="O109:Q109" si="53">O101/$H$30</f>
        <v>9.9498881560681092</v>
      </c>
      <c r="P109" s="17">
        <f t="shared" si="53"/>
        <v>8.2100331382348823</v>
      </c>
      <c r="Q109" s="17">
        <f t="shared" si="53"/>
        <v>7.0043681765107983</v>
      </c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78"/>
      <c r="B110" s="78"/>
      <c r="C110" s="78" t="s">
        <v>55</v>
      </c>
      <c r="D110" s="78"/>
      <c r="E110" s="78"/>
      <c r="F110" s="78"/>
      <c r="G110" s="68">
        <f>I90</f>
        <v>8.0684214063644415</v>
      </c>
      <c r="H110" s="68">
        <f>I91</f>
        <v>6.8872778557845429</v>
      </c>
      <c r="I110" s="68">
        <f>I92</f>
        <v>6.0206545358263357</v>
      </c>
      <c r="J110" s="68"/>
      <c r="K110" s="68">
        <f>J90</f>
        <v>8.9622759347165815</v>
      </c>
      <c r="L110" s="68">
        <f>J91</f>
        <v>7.5343668700126658</v>
      </c>
      <c r="M110" s="68">
        <f>J92</f>
        <v>6.5139434578793347</v>
      </c>
      <c r="N110" s="68"/>
      <c r="O110" s="68">
        <f>K90</f>
        <v>10.054764802702531</v>
      </c>
      <c r="P110" s="68">
        <f>K91</f>
        <v>8.2991084322822672</v>
      </c>
      <c r="Q110" s="68">
        <f>K92</f>
        <v>7.0831229833251017</v>
      </c>
      <c r="R110" s="78"/>
      <c r="S110" s="78"/>
      <c r="T110" s="78"/>
      <c r="U110" s="78"/>
      <c r="V110" s="78"/>
      <c r="W110" s="78"/>
      <c r="X110" s="78"/>
      <c r="Y110" s="78"/>
      <c r="Z110" s="78"/>
      <c r="AA110" s="78"/>
    </row>
    <row r="111" spans="1:27" ht="15.75" customHeight="1" x14ac:dyDescent="0.25">
      <c r="A111" s="1"/>
      <c r="B111" s="1"/>
      <c r="C111" s="1"/>
      <c r="D111" s="1"/>
      <c r="E111" s="1"/>
      <c r="F111" s="1"/>
      <c r="G111" s="17"/>
      <c r="H111" s="1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3"/>
      <c r="B112" s="3"/>
      <c r="C112" s="8"/>
      <c r="D112" s="3"/>
      <c r="E112" s="3"/>
      <c r="F112" s="3"/>
      <c r="G112" s="27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25">
      <c r="A113" s="3"/>
      <c r="B113" s="3"/>
      <c r="C113" s="3"/>
      <c r="D113" s="3"/>
      <c r="E113" s="3"/>
      <c r="F113" s="3"/>
      <c r="G113" s="27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0">
    <mergeCell ref="G90:G92"/>
    <mergeCell ref="G96:I96"/>
    <mergeCell ref="K96:M96"/>
    <mergeCell ref="O96:Q96"/>
    <mergeCell ref="G25:Q25"/>
    <mergeCell ref="I81:K81"/>
    <mergeCell ref="O81:Q81"/>
    <mergeCell ref="G83:G85"/>
    <mergeCell ref="M83:M85"/>
    <mergeCell ref="I88:K88"/>
  </mergeCells>
  <hyperlinks>
    <hyperlink ref="C4" r:id="rId1" display="http://axial.net"/>
  </hyperlinks>
  <pageMargins left="0.75" right="0.75" top="1" bottom="1" header="0.5" footer="0.5"/>
  <pageSetup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Axial</dc:creator>
  <cp:lastModifiedBy>mazambani</cp:lastModifiedBy>
  <dcterms:created xsi:type="dcterms:W3CDTF">2016-01-28T17:00:33Z</dcterms:created>
  <dcterms:modified xsi:type="dcterms:W3CDTF">2018-03-11T13:36:18Z</dcterms:modified>
</cp:coreProperties>
</file>