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kayp\moordesign\main\other\"/>
    </mc:Choice>
  </mc:AlternateContent>
  <xr:revisionPtr revIDLastSave="0" documentId="13_ncr:1_{27B47138-24A6-4B0D-8D0C-18B9CBD5B237}" xr6:coauthVersionLast="47" xr6:coauthVersionMax="47" xr10:uidLastSave="{00000000-0000-0000-0000-000000000000}"/>
  <bookViews>
    <workbookView xWindow="2268" yWindow="2220" windowWidth="9720" windowHeight="8964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B20" i="1"/>
  <c r="C19" i="1"/>
  <c r="B14" i="1" l="1"/>
  <c r="C14" i="1" s="1"/>
  <c r="C33" i="1"/>
  <c r="C32" i="1"/>
  <c r="B32" i="1"/>
  <c r="C31" i="1"/>
  <c r="C36" i="1"/>
  <c r="C35" i="1"/>
  <c r="B35" i="1"/>
  <c r="C34" i="1"/>
  <c r="E27" i="1" l="1"/>
  <c r="C37" i="1"/>
  <c r="C29" i="1"/>
  <c r="B28" i="1"/>
  <c r="C28" i="1" s="1"/>
  <c r="B27" i="1"/>
  <c r="C27" i="1" s="1"/>
  <c r="B26" i="1"/>
  <c r="C26" i="1" s="1"/>
  <c r="D25" i="1"/>
  <c r="B25" i="1"/>
  <c r="C25" i="1" s="1"/>
  <c r="C24" i="1"/>
  <c r="C23" i="1"/>
  <c r="C22" i="1"/>
  <c r="C18" i="1"/>
  <c r="E45" i="1" l="1"/>
  <c r="E48" i="1" l="1"/>
  <c r="D12" i="1" l="1"/>
  <c r="B12" i="1"/>
  <c r="C12" i="1" s="1"/>
  <c r="B46" i="1"/>
  <c r="C46" i="1" s="1"/>
  <c r="B44" i="1"/>
  <c r="C44" i="1" s="1"/>
  <c r="B15" i="1"/>
  <c r="C15" i="1" s="1"/>
  <c r="B13" i="1" l="1"/>
  <c r="C13" i="1" s="1"/>
  <c r="C10" i="1"/>
  <c r="B10" i="1"/>
  <c r="B45" i="1"/>
  <c r="C45" i="1" s="1"/>
  <c r="G48" i="1"/>
  <c r="C48" i="1"/>
  <c r="B48" i="1"/>
  <c r="C17" i="1" l="1"/>
  <c r="B17" i="1"/>
  <c r="A4" i="2" l="1"/>
  <c r="B43" i="1"/>
  <c r="C43" i="1" s="1"/>
  <c r="D43" i="1"/>
  <c r="E14" i="1"/>
  <c r="E20" i="1" l="1"/>
  <c r="G20" i="1" s="1"/>
  <c r="E10" i="1"/>
  <c r="E35" i="1"/>
  <c r="G35" i="1" s="1"/>
  <c r="E32" i="1"/>
  <c r="G32" i="1" s="1"/>
  <c r="C42" i="1"/>
  <c r="C41" i="1"/>
  <c r="C40" i="1"/>
  <c r="B38" i="1"/>
  <c r="C38" i="1"/>
  <c r="C39" i="1"/>
  <c r="C7" i="1" l="1"/>
  <c r="E17" i="1" l="1"/>
  <c r="G17" i="1" s="1"/>
  <c r="C50" i="1"/>
  <c r="C49" i="1"/>
  <c r="E38" i="1"/>
  <c r="G38" i="1" s="1"/>
  <c r="E7" i="1"/>
  <c r="G7" i="1" s="1"/>
  <c r="B7" i="1" l="1"/>
  <c r="C11" i="1"/>
  <c r="B56" i="1"/>
  <c r="C56" i="1" s="1"/>
  <c r="C52" i="1"/>
  <c r="C47" i="1"/>
  <c r="C9" i="1"/>
  <c r="C8" i="1"/>
  <c r="B53" i="1"/>
  <c r="C53" i="1" s="1"/>
  <c r="E54" i="1"/>
  <c r="C16" i="1"/>
  <c r="C55" i="1"/>
  <c r="C57" i="1"/>
  <c r="B58" i="1"/>
  <c r="C58" i="1" s="1"/>
  <c r="F20" i="1" s="1"/>
  <c r="G30" i="1" l="1"/>
  <c r="F17" i="1"/>
  <c r="F10" i="1"/>
  <c r="G10" i="1"/>
  <c r="F7" i="1"/>
</calcChain>
</file>

<file path=xl/sharedStrings.xml><?xml version="1.0" encoding="utf-8"?>
<sst xmlns="http://schemas.openxmlformats.org/spreadsheetml/2006/main" count="69" uniqueCount="36">
  <si>
    <t>1/2" Shackle</t>
  </si>
  <si>
    <t>MillerC3</t>
  </si>
  <si>
    <t>7/8" Shackle</t>
  </si>
  <si>
    <t>1" Chain</t>
  </si>
  <si>
    <t xml:space="preserve">Weight </t>
  </si>
  <si>
    <t xml:space="preserve">Wet Weight </t>
  </si>
  <si>
    <t xml:space="preserve">Length </t>
  </si>
  <si>
    <t xml:space="preserve">Net Weight </t>
  </si>
  <si>
    <t>(kg)</t>
  </si>
  <si>
    <t>(m)</t>
  </si>
  <si>
    <t>below float (m)</t>
  </si>
  <si>
    <t>Inst. Height</t>
  </si>
  <si>
    <t>off btm (m)</t>
  </si>
  <si>
    <t>m Design Depth</t>
  </si>
  <si>
    <t>AR861 B2S</t>
  </si>
  <si>
    <t>5/8" Shackle</t>
  </si>
  <si>
    <t>Drop Link</t>
  </si>
  <si>
    <t>1" Polysteel</t>
  </si>
  <si>
    <t>Miller C212</t>
  </si>
  <si>
    <t>Inst. Depth</t>
  </si>
  <si>
    <t>7/16" Shackle</t>
  </si>
  <si>
    <t>1/2" Sling Link</t>
  </si>
  <si>
    <t xml:space="preserve">assumed 1.1% stretch </t>
  </si>
  <si>
    <t>4 Vinies on 3/4" Polysteel</t>
  </si>
  <si>
    <t>5/16" Amsteel II+</t>
  </si>
  <si>
    <t>SM2M+ in Frame</t>
  </si>
  <si>
    <t>AF36↑ w WH600+SBE37 ODO</t>
  </si>
  <si>
    <t>Aquadopp↓+SBE37</t>
  </si>
  <si>
    <t>AF44↑ w WH150+SBE37 ODO</t>
  </si>
  <si>
    <t>SB30</t>
  </si>
  <si>
    <t>Chat3-4</t>
  </si>
  <si>
    <t>July 2022</t>
  </si>
  <si>
    <t>1/4" Tenex</t>
  </si>
  <si>
    <t>SBE37</t>
  </si>
  <si>
    <t>SeapHox in Frame</t>
  </si>
  <si>
    <t>Anchor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</si>
</sst>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rgb="FF0000FF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indexed="12"/>
      <name val="Arial"/>
      <family val="2"/>
    </font>
    <font>
      <b/>
      <sz val="11"/>
      <color rgb="FFFF0000"/>
      <name val="Arial"/>
      <family val="2"/>
    </font>
    <font>
      <sz val="11"/>
      <color rgb="FF0000FF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4" applyNumberFormat="0" applyAlignment="0" applyProtection="0"/>
  </cellStyleXfs>
  <cellXfs count="103">
    <xf numFmtId="0" fontId="0" fillId="0" borderId="0" xfId="0"/>
    <xf numFmtId="2" fontId="0" fillId="0" borderId="1" xfId="0" applyNumberFormat="1" applyBorder="1"/>
    <xf numFmtId="2" fontId="2" fillId="0" borderId="1" xfId="0" applyNumberFormat="1" applyFont="1" applyBorder="1"/>
    <xf numFmtId="2" fontId="0" fillId="0" borderId="6" xfId="0" applyNumberFormat="1" applyBorder="1"/>
    <xf numFmtId="0" fontId="2" fillId="6" borderId="5" xfId="0" applyFont="1" applyFill="1" applyBorder="1" applyAlignment="1">
      <alignment horizontal="left"/>
    </xf>
    <xf numFmtId="2" fontId="4" fillId="4" borderId="1" xfId="1" applyNumberFormat="1" applyFont="1" applyFill="1" applyBorder="1"/>
    <xf numFmtId="2" fontId="4" fillId="7" borderId="1" xfId="1" applyNumberFormat="1" applyFont="1" applyFill="1" applyBorder="1"/>
    <xf numFmtId="0" fontId="5" fillId="0" borderId="0" xfId="0" applyFont="1"/>
    <xf numFmtId="49" fontId="5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0" fontId="6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2" fontId="6" fillId="0" borderId="12" xfId="0" applyNumberFormat="1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6" fillId="0" borderId="16" xfId="0" applyFont="1" applyBorder="1"/>
    <xf numFmtId="0" fontId="7" fillId="0" borderId="0" xfId="0" applyFont="1"/>
    <xf numFmtId="0" fontId="6" fillId="6" borderId="5" xfId="0" applyFont="1" applyFill="1" applyBorder="1" applyAlignment="1">
      <alignment horizontal="left"/>
    </xf>
    <xf numFmtId="2" fontId="5" fillId="0" borderId="1" xfId="0" applyNumberFormat="1" applyFont="1" applyBorder="1"/>
    <xf numFmtId="2" fontId="8" fillId="5" borderId="1" xfId="0" applyNumberFormat="1" applyFont="1" applyFill="1" applyBorder="1"/>
    <xf numFmtId="2" fontId="5" fillId="0" borderId="6" xfId="0" applyNumberFormat="1" applyFont="1" applyBorder="1"/>
    <xf numFmtId="0" fontId="5" fillId="0" borderId="5" xfId="0" applyFont="1" applyBorder="1" applyAlignment="1">
      <alignment horizontal="left"/>
    </xf>
    <xf numFmtId="0" fontId="5" fillId="0" borderId="1" xfId="0" applyFont="1" applyBorder="1"/>
    <xf numFmtId="2" fontId="6" fillId="0" borderId="1" xfId="0" applyNumberFormat="1" applyFont="1" applyBorder="1"/>
    <xf numFmtId="2" fontId="9" fillId="0" borderId="6" xfId="0" applyNumberFormat="1" applyFont="1" applyBorder="1"/>
    <xf numFmtId="2" fontId="10" fillId="3" borderId="5" xfId="0" applyNumberFormat="1" applyFont="1" applyFill="1" applyBorder="1" applyAlignment="1">
      <alignment horizontal="left"/>
    </xf>
    <xf numFmtId="2" fontId="7" fillId="3" borderId="1" xfId="0" applyNumberFormat="1" applyFont="1" applyFill="1" applyBorder="1"/>
    <xf numFmtId="2" fontId="7" fillId="3" borderId="1" xfId="0" applyNumberFormat="1" applyFont="1" applyFill="1" applyBorder="1" applyAlignment="1">
      <alignment horizontal="right"/>
    </xf>
    <xf numFmtId="2" fontId="10" fillId="3" borderId="1" xfId="0" applyNumberFormat="1" applyFont="1" applyFill="1" applyBorder="1"/>
    <xf numFmtId="2" fontId="10" fillId="3" borderId="6" xfId="0" applyNumberFormat="1" applyFont="1" applyFill="1" applyBorder="1"/>
    <xf numFmtId="2" fontId="9" fillId="0" borderId="0" xfId="0" applyNumberFormat="1" applyFont="1"/>
    <xf numFmtId="0" fontId="6" fillId="0" borderId="6" xfId="0" applyFont="1" applyBorder="1"/>
    <xf numFmtId="2" fontId="5" fillId="0" borderId="5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4" fillId="0" borderId="0" xfId="0" applyNumberFormat="1" applyFont="1"/>
    <xf numFmtId="0" fontId="4" fillId="4" borderId="5" xfId="0" applyFont="1" applyFill="1" applyBorder="1" applyAlignment="1">
      <alignment horizontal="left"/>
    </xf>
    <xf numFmtId="2" fontId="4" fillId="4" borderId="1" xfId="0" applyNumberFormat="1" applyFont="1" applyFill="1" applyBorder="1"/>
    <xf numFmtId="0" fontId="4" fillId="4" borderId="6" xfId="0" applyFont="1" applyFill="1" applyBorder="1"/>
    <xf numFmtId="0" fontId="10" fillId="3" borderId="1" xfId="0" applyFont="1" applyFill="1" applyBorder="1"/>
    <xf numFmtId="0" fontId="6" fillId="0" borderId="5" xfId="0" applyFont="1" applyBorder="1" applyAlignment="1">
      <alignment horizontal="left"/>
    </xf>
    <xf numFmtId="0" fontId="4" fillId="7" borderId="5" xfId="0" applyFont="1" applyFill="1" applyBorder="1" applyAlignment="1">
      <alignment horizontal="left"/>
    </xf>
    <xf numFmtId="2" fontId="11" fillId="7" borderId="1" xfId="0" applyNumberFormat="1" applyFont="1" applyFill="1" applyBorder="1"/>
    <xf numFmtId="2" fontId="4" fillId="7" borderId="1" xfId="0" applyNumberFormat="1" applyFont="1" applyFill="1" applyBorder="1"/>
    <xf numFmtId="2" fontId="4" fillId="7" borderId="6" xfId="0" applyNumberFormat="1" applyFont="1" applyFill="1" applyBorder="1"/>
    <xf numFmtId="2" fontId="10" fillId="0" borderId="0" xfId="0" applyNumberFormat="1" applyFont="1"/>
    <xf numFmtId="2" fontId="10" fillId="3" borderId="1" xfId="0" applyNumberFormat="1" applyFont="1" applyFill="1" applyBorder="1" applyAlignment="1">
      <alignment horizontal="left"/>
    </xf>
    <xf numFmtId="0" fontId="9" fillId="0" borderId="0" xfId="0" applyFont="1" applyBorder="1"/>
    <xf numFmtId="2" fontId="9" fillId="0" borderId="0" xfId="0" applyNumberFormat="1" applyFont="1" applyBorder="1"/>
    <xf numFmtId="0" fontId="9" fillId="0" borderId="0" xfId="0" applyFont="1"/>
    <xf numFmtId="2" fontId="11" fillId="4" borderId="1" xfId="0" applyNumberFormat="1" applyFont="1" applyFill="1" applyBorder="1"/>
    <xf numFmtId="2" fontId="4" fillId="4" borderId="6" xfId="0" applyNumberFormat="1" applyFont="1" applyFill="1" applyBorder="1"/>
    <xf numFmtId="2" fontId="12" fillId="0" borderId="0" xfId="0" applyNumberFormat="1" applyFont="1"/>
    <xf numFmtId="2" fontId="12" fillId="0" borderId="1" xfId="0" applyNumberFormat="1" applyFont="1" applyBorder="1"/>
    <xf numFmtId="2" fontId="13" fillId="0" borderId="1" xfId="0" applyNumberFormat="1" applyFont="1" applyBorder="1"/>
    <xf numFmtId="2" fontId="13" fillId="0" borderId="6" xfId="0" applyNumberFormat="1" applyFont="1" applyBorder="1"/>
    <xf numFmtId="2" fontId="5" fillId="0" borderId="5" xfId="0" applyNumberFormat="1" applyFont="1" applyBorder="1"/>
    <xf numFmtId="2" fontId="6" fillId="0" borderId="6" xfId="0" applyNumberFormat="1" applyFont="1" applyBorder="1"/>
    <xf numFmtId="2" fontId="7" fillId="0" borderId="0" xfId="0" applyNumberFormat="1" applyFont="1"/>
    <xf numFmtId="0" fontId="4" fillId="0" borderId="0" xfId="0" applyFont="1"/>
    <xf numFmtId="2" fontId="4" fillId="4" borderId="5" xfId="0" applyNumberFormat="1" applyFont="1" applyFill="1" applyBorder="1"/>
    <xf numFmtId="0" fontId="5" fillId="0" borderId="7" xfId="0" applyFont="1" applyBorder="1"/>
    <xf numFmtId="2" fontId="5" fillId="0" borderId="8" xfId="0" applyNumberFormat="1" applyFont="1" applyBorder="1"/>
    <xf numFmtId="2" fontId="6" fillId="0" borderId="8" xfId="0" applyNumberFormat="1" applyFont="1" applyBorder="1"/>
    <xf numFmtId="0" fontId="6" fillId="0" borderId="9" xfId="0" applyFont="1" applyBorder="1"/>
    <xf numFmtId="0" fontId="5" fillId="0" borderId="0" xfId="0" applyFont="1" applyBorder="1"/>
    <xf numFmtId="10" fontId="5" fillId="0" borderId="0" xfId="0" applyNumberFormat="1" applyFont="1" applyBorder="1"/>
    <xf numFmtId="2" fontId="5" fillId="0" borderId="0" xfId="0" applyNumberFormat="1" applyFont="1" applyAlignment="1">
      <alignment horizontal="left"/>
    </xf>
    <xf numFmtId="0" fontId="5" fillId="0" borderId="0" xfId="0" applyFont="1" applyAlignment="1"/>
    <xf numFmtId="2" fontId="14" fillId="7" borderId="5" xfId="0" applyNumberFormat="1" applyFont="1" applyFill="1" applyBorder="1"/>
    <xf numFmtId="2" fontId="15" fillId="7" borderId="1" xfId="0" applyNumberFormat="1" applyFont="1" applyFill="1" applyBorder="1"/>
    <xf numFmtId="164" fontId="15" fillId="7" borderId="1" xfId="0" applyNumberFormat="1" applyFont="1" applyFill="1" applyBorder="1"/>
    <xf numFmtId="0" fontId="16" fillId="0" borderId="5" xfId="0" applyFont="1" applyBorder="1" applyAlignment="1">
      <alignment horizontal="left"/>
    </xf>
    <xf numFmtId="0" fontId="16" fillId="0" borderId="1" xfId="0" applyFont="1" applyBorder="1"/>
    <xf numFmtId="2" fontId="16" fillId="0" borderId="1" xfId="0" applyNumberFormat="1" applyFont="1" applyBorder="1"/>
    <xf numFmtId="0" fontId="2" fillId="0" borderId="6" xfId="0" applyFont="1" applyBorder="1"/>
    <xf numFmtId="2" fontId="17" fillId="0" borderId="0" xfId="0" applyNumberFormat="1" applyFont="1"/>
    <xf numFmtId="2" fontId="17" fillId="3" borderId="1" xfId="0" applyNumberFormat="1" applyFont="1" applyFill="1" applyBorder="1" applyAlignment="1">
      <alignment horizontal="left"/>
    </xf>
    <xf numFmtId="2" fontId="18" fillId="3" borderId="1" xfId="0" applyNumberFormat="1" applyFont="1" applyFill="1" applyBorder="1"/>
    <xf numFmtId="2" fontId="17" fillId="3" borderId="1" xfId="0" applyNumberFormat="1" applyFont="1" applyFill="1" applyBorder="1"/>
    <xf numFmtId="0" fontId="19" fillId="0" borderId="0" xfId="0" applyFont="1"/>
    <xf numFmtId="2" fontId="19" fillId="0" borderId="0" xfId="0" applyNumberFormat="1" applyFont="1"/>
    <xf numFmtId="0" fontId="0" fillId="0" borderId="5" xfId="0" applyBorder="1" applyAlignment="1">
      <alignment horizontal="left"/>
    </xf>
    <xf numFmtId="1" fontId="5" fillId="0" borderId="0" xfId="0" applyNumberFormat="1" applyFont="1"/>
    <xf numFmtId="1" fontId="9" fillId="0" borderId="0" xfId="0" applyNumberFormat="1" applyFont="1"/>
    <xf numFmtId="1" fontId="4" fillId="0" borderId="0" xfId="0" applyNumberFormat="1" applyFont="1"/>
    <xf numFmtId="1" fontId="17" fillId="0" borderId="0" xfId="0" applyNumberFormat="1" applyFont="1"/>
    <xf numFmtId="1" fontId="19" fillId="0" borderId="0" xfId="0" applyNumberFormat="1" applyFont="1"/>
    <xf numFmtId="1" fontId="0" fillId="0" borderId="0" xfId="0" applyNumberFormat="1"/>
    <xf numFmtId="1" fontId="10" fillId="0" borderId="0" xfId="0" applyNumberFormat="1" applyFont="1"/>
    <xf numFmtId="1" fontId="9" fillId="0" borderId="0" xfId="0" applyNumberFormat="1" applyFont="1" applyBorder="1"/>
    <xf numFmtId="1" fontId="12" fillId="0" borderId="0" xfId="0" applyNumberFormat="1" applyFont="1"/>
    <xf numFmtId="1" fontId="7" fillId="0" borderId="0" xfId="0" applyNumberFormat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Amsteel  II+ Stretch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Sheet2!$A$1:$A$4</c:f>
              <c:numCache>
                <c:formatCode>General</c:formatCode>
                <c:ptCount val="4"/>
                <c:pt idx="0">
                  <c:v>0</c:v>
                </c:pt>
                <c:pt idx="1">
                  <c:v>360</c:v>
                </c:pt>
                <c:pt idx="2">
                  <c:v>720</c:v>
                </c:pt>
                <c:pt idx="3">
                  <c:v>1080</c:v>
                </c:pt>
              </c:numCache>
            </c:numRef>
          </c:xVal>
          <c:yVal>
            <c:numRef>
              <c:f>Sheet2!$B$1:$B$4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0.67</c:v>
                </c:pt>
                <c:pt idx="3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7-445C-9AF4-C03F8D28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3216"/>
        <c:axId val="43915136"/>
      </c:scatterChart>
      <c:valAx>
        <c:axId val="4391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Tension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915136"/>
        <c:crosses val="autoZero"/>
        <c:crossBetween val="midCat"/>
      </c:valAx>
      <c:valAx>
        <c:axId val="4391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Stretch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913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9</xdr:row>
      <xdr:rowOff>15240</xdr:rowOff>
    </xdr:from>
    <xdr:to>
      <xdr:col>14</xdr:col>
      <xdr:colOff>60960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0"/>
  <sheetViews>
    <sheetView tabSelected="1" topLeftCell="A4" zoomScale="115" zoomScaleNormal="115" workbookViewId="0">
      <selection activeCell="D6" sqref="D6"/>
    </sheetView>
  </sheetViews>
  <sheetFormatPr defaultColWidth="9.109375" defaultRowHeight="13.8" x14ac:dyDescent="0.25"/>
  <cols>
    <col min="1" max="1" width="28.109375" style="7" customWidth="1"/>
    <col min="2" max="2" width="10.6640625" style="7" customWidth="1"/>
    <col min="3" max="3" width="11.5546875" style="9" customWidth="1"/>
    <col min="4" max="4" width="10.6640625" style="9" customWidth="1"/>
    <col min="5" max="5" width="12.109375" style="9" customWidth="1"/>
    <col min="6" max="6" width="13.88671875" style="10" customWidth="1"/>
    <col min="7" max="7" width="10.6640625" style="11" customWidth="1"/>
    <col min="8" max="8" width="10.5546875" style="7" bestFit="1" customWidth="1"/>
    <col min="9" max="16384" width="9.109375" style="7"/>
  </cols>
  <sheetData>
    <row r="1" spans="1:8" x14ac:dyDescent="0.25">
      <c r="A1" s="7" t="s">
        <v>30</v>
      </c>
      <c r="B1" s="8" t="s">
        <v>31</v>
      </c>
    </row>
    <row r="2" spans="1:8" x14ac:dyDescent="0.25">
      <c r="A2" s="7">
        <v>160</v>
      </c>
      <c r="B2" s="7" t="s">
        <v>13</v>
      </c>
    </row>
    <row r="3" spans="1:8" ht="14.4" thickBot="1" x14ac:dyDescent="0.3">
      <c r="A3" s="9"/>
    </row>
    <row r="4" spans="1:8" s="11" customFormat="1" x14ac:dyDescent="0.25">
      <c r="A4" s="12"/>
      <c r="B4" s="13" t="s">
        <v>4</v>
      </c>
      <c r="C4" s="14" t="s">
        <v>5</v>
      </c>
      <c r="D4" s="14" t="s">
        <v>6</v>
      </c>
      <c r="E4" s="14" t="s">
        <v>11</v>
      </c>
      <c r="F4" s="14" t="s">
        <v>7</v>
      </c>
      <c r="G4" s="15" t="s">
        <v>19</v>
      </c>
    </row>
    <row r="5" spans="1:8" s="11" customFormat="1" ht="14.4" thickBot="1" x14ac:dyDescent="0.3">
      <c r="A5" s="16"/>
      <c r="B5" s="17" t="s">
        <v>8</v>
      </c>
      <c r="C5" s="18" t="s">
        <v>8</v>
      </c>
      <c r="D5" s="18" t="s">
        <v>9</v>
      </c>
      <c r="E5" s="18" t="s">
        <v>12</v>
      </c>
      <c r="F5" s="18" t="s">
        <v>10</v>
      </c>
      <c r="G5" s="19" t="s">
        <v>9</v>
      </c>
    </row>
    <row r="6" spans="1:8" ht="14.4" thickTop="1" x14ac:dyDescent="0.25">
      <c r="A6" s="20"/>
      <c r="B6" s="21"/>
      <c r="C6" s="22"/>
      <c r="D6" s="22"/>
      <c r="E6" s="22"/>
      <c r="F6" s="23"/>
      <c r="G6" s="24"/>
      <c r="H6" s="25"/>
    </row>
    <row r="7" spans="1:8" x14ac:dyDescent="0.25">
      <c r="A7" s="26" t="s">
        <v>23</v>
      </c>
      <c r="B7" s="27">
        <f>2.7+0.8</f>
        <v>3.5</v>
      </c>
      <c r="C7" s="27">
        <f>4*-21+0.7</f>
        <v>-83.3</v>
      </c>
      <c r="D7" s="27">
        <v>1</v>
      </c>
      <c r="E7" s="28">
        <f>SUM(D7:D58 )</f>
        <v>146.54860000000002</v>
      </c>
      <c r="F7" s="27">
        <f>SUM(C10:C55)</f>
        <v>-510.88498706995</v>
      </c>
      <c r="G7" s="29">
        <f>A2-E7</f>
        <v>13.451399999999978</v>
      </c>
      <c r="H7" s="93"/>
    </row>
    <row r="8" spans="1:8" x14ac:dyDescent="0.25">
      <c r="A8" s="30" t="s">
        <v>0</v>
      </c>
      <c r="B8" s="31">
        <v>0.37</v>
      </c>
      <c r="C8" s="27">
        <f>(7.84-1)/7.84*B8</f>
        <v>0.3228061224489796</v>
      </c>
      <c r="D8" s="27">
        <v>0.05</v>
      </c>
      <c r="E8" s="27"/>
      <c r="F8" s="32"/>
      <c r="G8" s="33"/>
      <c r="H8" s="93"/>
    </row>
    <row r="9" spans="1:8" x14ac:dyDescent="0.25">
      <c r="A9" s="30" t="s">
        <v>0</v>
      </c>
      <c r="B9" s="31">
        <v>0.37</v>
      </c>
      <c r="C9" s="27">
        <f>(7.84-1)/7.84*B9</f>
        <v>0.3228061224489796</v>
      </c>
      <c r="D9" s="27">
        <v>0.05</v>
      </c>
      <c r="E9" s="27"/>
      <c r="F9" s="32"/>
      <c r="G9" s="33"/>
      <c r="H9" s="93"/>
    </row>
    <row r="10" spans="1:8" s="39" customFormat="1" x14ac:dyDescent="0.25">
      <c r="A10" s="34" t="s">
        <v>33</v>
      </c>
      <c r="B10" s="35">
        <f>4.4+2.3+8.63</f>
        <v>15.330000000000002</v>
      </c>
      <c r="C10" s="36">
        <f>1.2+1.8+7.52</f>
        <v>10.52</v>
      </c>
      <c r="D10" s="35">
        <v>0.9</v>
      </c>
      <c r="E10" s="37">
        <f>SUM(D11:D58)+0.5*D10</f>
        <v>144.99860000000001</v>
      </c>
      <c r="F10" s="37">
        <f>$A$2-E10</f>
        <v>15.00139999999999</v>
      </c>
      <c r="G10" s="38">
        <f>$A$2-E10</f>
        <v>15.00139999999999</v>
      </c>
      <c r="H10" s="94"/>
    </row>
    <row r="11" spans="1:8" x14ac:dyDescent="0.25">
      <c r="A11" s="30" t="s">
        <v>0</v>
      </c>
      <c r="B11" s="31">
        <v>0.37</v>
      </c>
      <c r="C11" s="27">
        <f t="shared" ref="C11:C13" si="0">(7.84-1)/7.84*B11</f>
        <v>0.3228061224489796</v>
      </c>
      <c r="D11" s="27">
        <v>0.05</v>
      </c>
      <c r="E11" s="27"/>
      <c r="F11" s="32"/>
      <c r="G11" s="40"/>
      <c r="H11" s="93"/>
    </row>
    <row r="12" spans="1:8" x14ac:dyDescent="0.25">
      <c r="A12" s="41" t="s">
        <v>21</v>
      </c>
      <c r="B12" s="27">
        <f>0.55/2.2</f>
        <v>0.25</v>
      </c>
      <c r="C12" s="27">
        <f t="shared" si="0"/>
        <v>0.21811224489795919</v>
      </c>
      <c r="D12" s="27">
        <f>3*0.0254</f>
        <v>7.619999999999999E-2</v>
      </c>
      <c r="E12" s="27"/>
      <c r="F12" s="32"/>
      <c r="G12" s="29"/>
      <c r="H12" s="93"/>
    </row>
    <row r="13" spans="1:8" s="45" customFormat="1" x14ac:dyDescent="0.25">
      <c r="A13" s="41" t="s">
        <v>20</v>
      </c>
      <c r="B13" s="42">
        <f>0.49/2.2</f>
        <v>0.22272727272727272</v>
      </c>
      <c r="C13" s="42">
        <f t="shared" si="0"/>
        <v>0.19431818181818181</v>
      </c>
      <c r="D13" s="42">
        <v>0.04</v>
      </c>
      <c r="E13" s="42"/>
      <c r="F13" s="43"/>
      <c r="G13" s="44"/>
      <c r="H13" s="95"/>
    </row>
    <row r="14" spans="1:8" x14ac:dyDescent="0.25">
      <c r="A14" s="79" t="s">
        <v>32</v>
      </c>
      <c r="B14" s="80">
        <f>0.031*D14</f>
        <v>0.74368999999999996</v>
      </c>
      <c r="C14" s="81">
        <f>(1.38-1.027)/1.38*B14</f>
        <v>0.19023374637681159</v>
      </c>
      <c r="D14" s="47">
        <v>23.99</v>
      </c>
      <c r="E14" s="5">
        <f>D14/(1+0.011)</f>
        <v>23.728981206726015</v>
      </c>
      <c r="F14" s="47" t="s">
        <v>22</v>
      </c>
      <c r="G14" s="48"/>
      <c r="H14" s="93"/>
    </row>
    <row r="15" spans="1:8" s="45" customFormat="1" x14ac:dyDescent="0.25">
      <c r="A15" s="41" t="s">
        <v>20</v>
      </c>
      <c r="B15" s="42">
        <f>0.49/2.2</f>
        <v>0.22272727272727272</v>
      </c>
      <c r="C15" s="42">
        <f>(7.84-1)/7.84*B15</f>
        <v>0.19431818181818181</v>
      </c>
      <c r="D15" s="42">
        <v>0.04</v>
      </c>
      <c r="E15" s="42"/>
      <c r="F15" s="43"/>
      <c r="G15" s="44"/>
      <c r="H15" s="95"/>
    </row>
    <row r="16" spans="1:8" x14ac:dyDescent="0.25">
      <c r="A16" s="30" t="s">
        <v>0</v>
      </c>
      <c r="B16" s="31">
        <v>0.37</v>
      </c>
      <c r="C16" s="27">
        <f>(7.84-1)/7.84*B16</f>
        <v>0.3228061224489796</v>
      </c>
      <c r="D16" s="27">
        <v>0.05</v>
      </c>
      <c r="E16" s="27"/>
      <c r="F16" s="32"/>
      <c r="G16" s="40"/>
      <c r="H16" s="93"/>
    </row>
    <row r="17" spans="1:10" s="39" customFormat="1" x14ac:dyDescent="0.25">
      <c r="A17" s="49" t="s">
        <v>26</v>
      </c>
      <c r="B17" s="35">
        <f>208+13</f>
        <v>221</v>
      </c>
      <c r="C17" s="35">
        <f>-160+4.5</f>
        <v>-155.5</v>
      </c>
      <c r="D17" s="35">
        <v>1.5</v>
      </c>
      <c r="E17" s="37">
        <f>SUM(D17:D58 )-0.3</f>
        <v>120.00239999999998</v>
      </c>
      <c r="F17" s="37">
        <f>SUM(C18:C58)</f>
        <v>-332.25213176252322</v>
      </c>
      <c r="G17" s="37">
        <f>$A$2-E17</f>
        <v>39.99760000000002</v>
      </c>
      <c r="H17" s="94"/>
    </row>
    <row r="18" spans="1:10" x14ac:dyDescent="0.25">
      <c r="A18" s="30" t="s">
        <v>0</v>
      </c>
      <c r="B18" s="31">
        <v>0.37</v>
      </c>
      <c r="C18" s="27">
        <f t="shared" ref="C18:C26" si="1">(7.84-1)/7.84*B18</f>
        <v>0.3228061224489796</v>
      </c>
      <c r="D18" s="27">
        <v>0.05</v>
      </c>
      <c r="E18" s="27"/>
      <c r="F18" s="32"/>
      <c r="G18" s="40"/>
      <c r="H18" s="93"/>
    </row>
    <row r="19" spans="1:10" s="86" customFormat="1" ht="13.2" x14ac:dyDescent="0.25">
      <c r="A19" s="82" t="s">
        <v>0</v>
      </c>
      <c r="B19" s="83">
        <v>0.37</v>
      </c>
      <c r="C19" s="84">
        <f>(7.84-1)/7.84*B19</f>
        <v>0.3228061224489796</v>
      </c>
      <c r="D19" s="84">
        <v>0.05</v>
      </c>
      <c r="E19" s="84"/>
      <c r="F19" s="2"/>
      <c r="G19" s="85"/>
      <c r="H19" s="96"/>
    </row>
    <row r="20" spans="1:10" s="90" customFormat="1" ht="13.2" x14ac:dyDescent="0.25">
      <c r="A20" s="87" t="s">
        <v>34</v>
      </c>
      <c r="B20" s="88">
        <f>13+13.5</f>
        <v>26.5</v>
      </c>
      <c r="C20" s="88">
        <f>11.78</f>
        <v>11.78</v>
      </c>
      <c r="D20" s="88">
        <v>1.29</v>
      </c>
      <c r="E20" s="89">
        <f t="shared" ref="E20" si="2">SUM(D20:D63 )-0.3</f>
        <v>118.40239999999999</v>
      </c>
      <c r="F20" s="89">
        <f t="shared" ref="F20" si="3">SUM(C20:C62)</f>
        <v>-332.89774400742118</v>
      </c>
      <c r="G20" s="89">
        <f t="shared" ref="G20" si="4">$A$2-E20</f>
        <v>41.597600000000014</v>
      </c>
      <c r="H20" s="97"/>
      <c r="I20" s="91"/>
    </row>
    <row r="21" spans="1:10" customFormat="1" ht="13.2" x14ac:dyDescent="0.25">
      <c r="A21" s="92" t="s">
        <v>0</v>
      </c>
      <c r="B21" s="83">
        <v>0.37</v>
      </c>
      <c r="C21" s="84">
        <f>(7.84-1)/7.84*B21</f>
        <v>0.3228061224489796</v>
      </c>
      <c r="D21" s="1">
        <v>0.05</v>
      </c>
      <c r="E21" s="1"/>
      <c r="F21" s="1"/>
      <c r="G21" s="3"/>
      <c r="H21" s="98"/>
    </row>
    <row r="22" spans="1:10" x14ac:dyDescent="0.25">
      <c r="A22" s="30" t="s">
        <v>0</v>
      </c>
      <c r="B22" s="31">
        <v>0.37</v>
      </c>
      <c r="C22" s="27">
        <f t="shared" si="1"/>
        <v>0.3228061224489796</v>
      </c>
      <c r="D22" s="27">
        <v>0.05</v>
      </c>
      <c r="E22" s="27"/>
      <c r="F22" s="32"/>
      <c r="G22" s="40"/>
      <c r="H22" s="93"/>
    </row>
    <row r="23" spans="1:10" x14ac:dyDescent="0.25">
      <c r="A23" s="50" t="s">
        <v>18</v>
      </c>
      <c r="B23" s="31">
        <v>1.23</v>
      </c>
      <c r="C23" s="27">
        <f t="shared" si="1"/>
        <v>1.0731122448979591</v>
      </c>
      <c r="D23" s="27">
        <v>0.15</v>
      </c>
      <c r="E23" s="27"/>
      <c r="F23" s="32"/>
      <c r="G23" s="40"/>
      <c r="H23" s="93"/>
    </row>
    <row r="24" spans="1:10" x14ac:dyDescent="0.25">
      <c r="A24" s="30" t="s">
        <v>0</v>
      </c>
      <c r="B24" s="31">
        <v>0.37</v>
      </c>
      <c r="C24" s="27">
        <f t="shared" si="1"/>
        <v>0.3228061224489796</v>
      </c>
      <c r="D24" s="27">
        <v>0.05</v>
      </c>
      <c r="E24" s="27"/>
      <c r="F24" s="32"/>
      <c r="G24" s="40"/>
      <c r="H24" s="93"/>
    </row>
    <row r="25" spans="1:10" x14ac:dyDescent="0.25">
      <c r="A25" s="41" t="s">
        <v>21</v>
      </c>
      <c r="B25" s="27">
        <f>0.55/2.2</f>
        <v>0.25</v>
      </c>
      <c r="C25" s="27">
        <f t="shared" si="1"/>
        <v>0.21811224489795919</v>
      </c>
      <c r="D25" s="27">
        <f>3*0.0254</f>
        <v>7.619999999999999E-2</v>
      </c>
      <c r="E25" s="27"/>
      <c r="F25" s="32"/>
      <c r="G25" s="29"/>
      <c r="H25" s="93"/>
    </row>
    <row r="26" spans="1:10" s="45" customFormat="1" x14ac:dyDescent="0.25">
      <c r="A26" s="41" t="s">
        <v>20</v>
      </c>
      <c r="B26" s="42">
        <f>0.49/2.2</f>
        <v>0.22272727272727272</v>
      </c>
      <c r="C26" s="42">
        <f t="shared" si="1"/>
        <v>0.19431818181818181</v>
      </c>
      <c r="D26" s="42">
        <v>0.04</v>
      </c>
      <c r="E26" s="42"/>
      <c r="F26" s="43"/>
      <c r="G26" s="44"/>
      <c r="H26" s="95"/>
    </row>
    <row r="27" spans="1:10" x14ac:dyDescent="0.25">
      <c r="A27" s="51" t="s">
        <v>24</v>
      </c>
      <c r="B27" s="52">
        <f>5.2*D27/100</f>
        <v>1.4294800000000001</v>
      </c>
      <c r="C27" s="52">
        <f>(1.2-1)/1.2*B27</f>
        <v>0.23824666666666663</v>
      </c>
      <c r="D27" s="53">
        <v>27.49</v>
      </c>
      <c r="E27" s="6">
        <f>D27/(1+B59)</f>
        <v>27.353233830845774</v>
      </c>
      <c r="F27" s="53"/>
      <c r="G27" s="54"/>
      <c r="H27" s="93"/>
    </row>
    <row r="28" spans="1:10" s="45" customFormat="1" x14ac:dyDescent="0.25">
      <c r="A28" s="41" t="s">
        <v>20</v>
      </c>
      <c r="B28" s="42">
        <f>0.49/2.2</f>
        <v>0.22272727272727272</v>
      </c>
      <c r="C28" s="42">
        <f>(7.84-1)/7.84*B28</f>
        <v>0.19431818181818181</v>
      </c>
      <c r="D28" s="42">
        <v>0.04</v>
      </c>
      <c r="E28" s="42"/>
      <c r="F28" s="43"/>
      <c r="G28" s="44"/>
      <c r="H28" s="95"/>
    </row>
    <row r="29" spans="1:10" s="55" customFormat="1" x14ac:dyDescent="0.25">
      <c r="A29" s="30" t="s">
        <v>0</v>
      </c>
      <c r="B29" s="31">
        <v>0.37</v>
      </c>
      <c r="C29" s="27">
        <f>(7.84-1)/7.84*B29</f>
        <v>0.3228061224489796</v>
      </c>
      <c r="D29" s="27">
        <v>0.05</v>
      </c>
      <c r="E29" s="27"/>
      <c r="F29" s="32"/>
      <c r="G29" s="40"/>
      <c r="H29" s="99"/>
    </row>
    <row r="30" spans="1:10" customFormat="1" ht="13.2" x14ac:dyDescent="0.25">
      <c r="A30" s="4" t="s">
        <v>29</v>
      </c>
      <c r="B30" s="1">
        <v>76</v>
      </c>
      <c r="C30" s="1">
        <v>-166</v>
      </c>
      <c r="D30" s="1">
        <v>0.87</v>
      </c>
      <c r="E30" s="1"/>
      <c r="F30" s="2"/>
      <c r="G30" s="3">
        <f>SUM(C32:C109)</f>
        <v>-182.209882139765</v>
      </c>
      <c r="H30" s="98"/>
    </row>
    <row r="31" spans="1:10" x14ac:dyDescent="0.25">
      <c r="A31" s="30" t="s">
        <v>0</v>
      </c>
      <c r="B31" s="31">
        <v>0.37</v>
      </c>
      <c r="C31" s="27">
        <f>(7.84-1)/7.84*B31</f>
        <v>0.3228061224489796</v>
      </c>
      <c r="D31" s="27">
        <v>0.05</v>
      </c>
      <c r="E31" s="27"/>
      <c r="F31" s="32"/>
      <c r="G31" s="40"/>
      <c r="H31" s="93"/>
    </row>
    <row r="32" spans="1:10" s="59" customFormat="1" x14ac:dyDescent="0.25">
      <c r="A32" s="56" t="s">
        <v>25</v>
      </c>
      <c r="B32" s="35">
        <f>13+13.5</f>
        <v>26.5</v>
      </c>
      <c r="C32" s="35">
        <f>11.78</f>
        <v>11.78</v>
      </c>
      <c r="D32" s="35">
        <v>1.3</v>
      </c>
      <c r="E32" s="37">
        <f>SUM(D32:D68 )-0.3</f>
        <v>88.19619999999999</v>
      </c>
      <c r="F32" s="37"/>
      <c r="G32" s="37">
        <f t="shared" ref="G32" si="5">$A$2-E32</f>
        <v>71.80380000000001</v>
      </c>
      <c r="H32" s="100"/>
      <c r="I32" s="58"/>
      <c r="J32" s="57"/>
    </row>
    <row r="33" spans="1:10" x14ac:dyDescent="0.25">
      <c r="A33" s="30" t="s">
        <v>0</v>
      </c>
      <c r="B33" s="31">
        <v>0.37</v>
      </c>
      <c r="C33" s="27">
        <f>(7.84-1)/7.84*B33</f>
        <v>0.3228061224489796</v>
      </c>
      <c r="D33" s="27">
        <v>0.05</v>
      </c>
      <c r="E33" s="27"/>
      <c r="F33" s="32"/>
      <c r="G33" s="40"/>
      <c r="H33" s="93"/>
    </row>
    <row r="34" spans="1:10" x14ac:dyDescent="0.25">
      <c r="A34" s="30" t="s">
        <v>0</v>
      </c>
      <c r="B34" s="31">
        <v>0.37</v>
      </c>
      <c r="C34" s="27">
        <f>(7.84-1)/7.84*B34</f>
        <v>0.3228061224489796</v>
      </c>
      <c r="D34" s="27">
        <v>0.05</v>
      </c>
      <c r="E34" s="27"/>
      <c r="F34" s="32"/>
      <c r="G34" s="40"/>
      <c r="H34" s="93"/>
    </row>
    <row r="35" spans="1:10" s="59" customFormat="1" x14ac:dyDescent="0.25">
      <c r="A35" s="56" t="s">
        <v>25</v>
      </c>
      <c r="B35" s="35">
        <f>13+13.5</f>
        <v>26.5</v>
      </c>
      <c r="C35" s="35">
        <f>11.78</f>
        <v>11.78</v>
      </c>
      <c r="D35" s="35">
        <v>1.3</v>
      </c>
      <c r="E35" s="37">
        <f>SUM(D35:D73 )-0.3</f>
        <v>86.796199999999999</v>
      </c>
      <c r="F35" s="37"/>
      <c r="G35" s="37">
        <f t="shared" ref="G35" si="6">$A$2-E35</f>
        <v>73.203800000000001</v>
      </c>
      <c r="H35" s="100"/>
      <c r="I35" s="58"/>
      <c r="J35" s="57"/>
    </row>
    <row r="36" spans="1:10" x14ac:dyDescent="0.25">
      <c r="A36" s="30" t="s">
        <v>0</v>
      </c>
      <c r="B36" s="31">
        <v>0.37</v>
      </c>
      <c r="C36" s="27">
        <f>(7.84-1)/7.84*B36</f>
        <v>0.3228061224489796</v>
      </c>
      <c r="D36" s="27">
        <v>0.05</v>
      </c>
      <c r="E36" s="27"/>
      <c r="F36" s="32"/>
      <c r="G36" s="40"/>
      <c r="H36" s="93"/>
    </row>
    <row r="37" spans="1:10" x14ac:dyDescent="0.25">
      <c r="A37" s="30" t="s">
        <v>0</v>
      </c>
      <c r="B37" s="31">
        <v>0.37</v>
      </c>
      <c r="C37" s="27">
        <f>(7.84-1)/7.84*B37</f>
        <v>0.3228061224489796</v>
      </c>
      <c r="D37" s="27">
        <v>0.05</v>
      </c>
      <c r="E37" s="27"/>
      <c r="F37" s="32"/>
      <c r="G37" s="40"/>
      <c r="H37" s="93"/>
    </row>
    <row r="38" spans="1:10" x14ac:dyDescent="0.25">
      <c r="A38" s="34" t="s">
        <v>27</v>
      </c>
      <c r="B38" s="35">
        <f>4.4+2.3+8.63</f>
        <v>15.330000000000002</v>
      </c>
      <c r="C38" s="36">
        <f>1.2+1.8+7.52</f>
        <v>10.52</v>
      </c>
      <c r="D38" s="35">
        <v>0.9</v>
      </c>
      <c r="E38" s="37">
        <f>SUM(D39:D58 )+0.2</f>
        <v>84.996200000000002</v>
      </c>
      <c r="F38" s="37"/>
      <c r="G38" s="38">
        <f>$A$2-E38</f>
        <v>75.003799999999998</v>
      </c>
      <c r="H38" s="93"/>
    </row>
    <row r="39" spans="1:10" s="9" customFormat="1" x14ac:dyDescent="0.25">
      <c r="A39" s="30" t="s">
        <v>0</v>
      </c>
      <c r="B39" s="31">
        <v>0.37</v>
      </c>
      <c r="C39" s="27">
        <f t="shared" ref="C39:C44" si="7">(7.84-1)/7.84*B39</f>
        <v>0.3228061224489796</v>
      </c>
      <c r="D39" s="27">
        <v>0.05</v>
      </c>
      <c r="E39" s="27"/>
      <c r="F39" s="32"/>
      <c r="G39" s="40"/>
      <c r="H39" s="93"/>
    </row>
    <row r="40" spans="1:10" x14ac:dyDescent="0.25">
      <c r="A40" s="30" t="s">
        <v>0</v>
      </c>
      <c r="B40" s="31">
        <v>0.37</v>
      </c>
      <c r="C40" s="27">
        <f t="shared" si="7"/>
        <v>0.3228061224489796</v>
      </c>
      <c r="D40" s="27">
        <v>0.05</v>
      </c>
      <c r="E40" s="27"/>
      <c r="F40" s="32"/>
      <c r="G40" s="40"/>
      <c r="H40" s="93"/>
    </row>
    <row r="41" spans="1:10" x14ac:dyDescent="0.25">
      <c r="A41" s="50" t="s">
        <v>18</v>
      </c>
      <c r="B41" s="31">
        <v>1.23</v>
      </c>
      <c r="C41" s="27">
        <f t="shared" si="7"/>
        <v>1.0731122448979591</v>
      </c>
      <c r="D41" s="27">
        <v>0.15</v>
      </c>
      <c r="E41" s="27"/>
      <c r="F41" s="32"/>
      <c r="G41" s="40"/>
      <c r="H41" s="93"/>
    </row>
    <row r="42" spans="1:10" x14ac:dyDescent="0.25">
      <c r="A42" s="30" t="s">
        <v>0</v>
      </c>
      <c r="B42" s="31">
        <v>0.37</v>
      </c>
      <c r="C42" s="27">
        <f t="shared" si="7"/>
        <v>0.3228061224489796</v>
      </c>
      <c r="D42" s="27">
        <v>0.05</v>
      </c>
      <c r="E42" s="27"/>
      <c r="F42" s="32"/>
      <c r="G42" s="40"/>
      <c r="H42" s="93"/>
    </row>
    <row r="43" spans="1:10" x14ac:dyDescent="0.25">
      <c r="A43" s="41" t="s">
        <v>21</v>
      </c>
      <c r="B43" s="27">
        <f>0.55/2.2</f>
        <v>0.25</v>
      </c>
      <c r="C43" s="27">
        <f t="shared" si="7"/>
        <v>0.21811224489795919</v>
      </c>
      <c r="D43" s="27">
        <f>3*0.0254</f>
        <v>7.619999999999999E-2</v>
      </c>
      <c r="E43" s="27"/>
      <c r="F43" s="32"/>
      <c r="G43" s="29"/>
      <c r="H43" s="93"/>
    </row>
    <row r="44" spans="1:10" s="45" customFormat="1" x14ac:dyDescent="0.25">
      <c r="A44" s="41" t="s">
        <v>20</v>
      </c>
      <c r="B44" s="42">
        <f>0.49/2.2</f>
        <v>0.22272727272727272</v>
      </c>
      <c r="C44" s="42">
        <f t="shared" si="7"/>
        <v>0.19431818181818181</v>
      </c>
      <c r="D44" s="42">
        <v>0.04</v>
      </c>
      <c r="E44" s="42"/>
      <c r="F44" s="43"/>
      <c r="G44" s="44"/>
      <c r="H44" s="95"/>
    </row>
    <row r="45" spans="1:10" s="9" customFormat="1" x14ac:dyDescent="0.25">
      <c r="A45" s="46" t="s">
        <v>24</v>
      </c>
      <c r="B45" s="60">
        <f>5.2*D45/100</f>
        <v>3.8464399999999999</v>
      </c>
      <c r="C45" s="60">
        <f>(1.2-1)/1.2*B45</f>
        <v>0.64107333333333316</v>
      </c>
      <c r="D45" s="47">
        <v>73.97</v>
      </c>
      <c r="E45" s="5">
        <f>D45/(1+B59)</f>
        <v>73.601990049751251</v>
      </c>
      <c r="F45" s="47"/>
      <c r="G45" s="61"/>
      <c r="H45" s="93"/>
    </row>
    <row r="46" spans="1:10" s="45" customFormat="1" x14ac:dyDescent="0.25">
      <c r="A46" s="41" t="s">
        <v>20</v>
      </c>
      <c r="B46" s="42">
        <f>0.49/2.2</f>
        <v>0.22272727272727272</v>
      </c>
      <c r="C46" s="42">
        <f>(7.84-1)/7.84*B46</f>
        <v>0.19431818181818181</v>
      </c>
      <c r="D46" s="42">
        <v>0.04</v>
      </c>
      <c r="E46" s="42"/>
      <c r="F46" s="43"/>
      <c r="G46" s="44"/>
      <c r="H46" s="95"/>
    </row>
    <row r="47" spans="1:10" x14ac:dyDescent="0.25">
      <c r="A47" s="30" t="s">
        <v>0</v>
      </c>
      <c r="B47" s="31">
        <v>0.37</v>
      </c>
      <c r="C47" s="27">
        <f>(7.84-1)/7.84*B47</f>
        <v>0.3228061224489796</v>
      </c>
      <c r="D47" s="27">
        <v>0.05</v>
      </c>
      <c r="E47" s="27"/>
      <c r="F47" s="32"/>
      <c r="G47" s="40"/>
      <c r="H47" s="93"/>
    </row>
    <row r="48" spans="1:10" s="39" customFormat="1" x14ac:dyDescent="0.25">
      <c r="A48" s="49" t="s">
        <v>28</v>
      </c>
      <c r="B48" s="35">
        <f>362+86+4</f>
        <v>452</v>
      </c>
      <c r="C48" s="35">
        <f>-341+55+3</f>
        <v>-283</v>
      </c>
      <c r="D48" s="35">
        <v>2.13</v>
      </c>
      <c r="E48" s="37">
        <f>SUM(D48:D58)-0.3</f>
        <v>10.02</v>
      </c>
      <c r="F48" s="49"/>
      <c r="G48" s="37">
        <f>$A$2-E48</f>
        <v>149.97999999999999</v>
      </c>
      <c r="H48" s="100"/>
      <c r="I48" s="58"/>
      <c r="J48" s="58"/>
    </row>
    <row r="49" spans="1:8" s="9" customFormat="1" x14ac:dyDescent="0.25">
      <c r="A49" s="30" t="s">
        <v>0</v>
      </c>
      <c r="B49" s="31">
        <v>0.37</v>
      </c>
      <c r="C49" s="27">
        <f>(7.84-1)/7.84*B49</f>
        <v>0.3228061224489796</v>
      </c>
      <c r="D49" s="27">
        <v>0.05</v>
      </c>
      <c r="E49" s="27"/>
      <c r="F49" s="32"/>
      <c r="G49" s="40"/>
      <c r="H49" s="93"/>
    </row>
    <row r="50" spans="1:8" x14ac:dyDescent="0.25">
      <c r="A50" s="30" t="s">
        <v>0</v>
      </c>
      <c r="B50" s="31">
        <v>0.37</v>
      </c>
      <c r="C50" s="27">
        <f>(7.84-1)/7.84*B50</f>
        <v>0.3228061224489796</v>
      </c>
      <c r="D50" s="27">
        <v>0.05</v>
      </c>
      <c r="E50" s="27"/>
      <c r="F50" s="32"/>
      <c r="G50" s="40"/>
      <c r="H50" s="93"/>
    </row>
    <row r="51" spans="1:8" s="62" customFormat="1" x14ac:dyDescent="0.25">
      <c r="A51" s="50" t="s">
        <v>1</v>
      </c>
      <c r="B51" s="31">
        <v>1.23</v>
      </c>
      <c r="C51" s="27">
        <v>1.07</v>
      </c>
      <c r="D51" s="27">
        <v>0.15</v>
      </c>
      <c r="E51" s="27"/>
      <c r="F51" s="32"/>
      <c r="G51" s="40"/>
      <c r="H51" s="101"/>
    </row>
    <row r="52" spans="1:8" s="9" customFormat="1" x14ac:dyDescent="0.25">
      <c r="A52" s="30" t="s">
        <v>0</v>
      </c>
      <c r="B52" s="31">
        <v>0.37</v>
      </c>
      <c r="C52" s="27">
        <f>(7.84-1)/7.84*B52</f>
        <v>0.3228061224489796</v>
      </c>
      <c r="D52" s="27">
        <v>0.05</v>
      </c>
      <c r="E52" s="63"/>
      <c r="F52" s="64"/>
      <c r="G52" s="65"/>
      <c r="H52" s="93"/>
    </row>
    <row r="53" spans="1:8" s="68" customFormat="1" x14ac:dyDescent="0.25">
      <c r="A53" s="66" t="s">
        <v>15</v>
      </c>
      <c r="B53" s="27">
        <f>1.68/2.2</f>
        <v>0.76363636363636356</v>
      </c>
      <c r="C53" s="27">
        <f>(7.84-1)/7.84*B53</f>
        <v>0.66623376623376618</v>
      </c>
      <c r="D53" s="27">
        <v>0.06</v>
      </c>
      <c r="E53" s="27"/>
      <c r="F53" s="32"/>
      <c r="G53" s="67"/>
      <c r="H53" s="102"/>
    </row>
    <row r="54" spans="1:8" x14ac:dyDescent="0.25">
      <c r="A54" s="34" t="s">
        <v>14</v>
      </c>
      <c r="B54" s="35">
        <v>30</v>
      </c>
      <c r="C54" s="35">
        <v>22</v>
      </c>
      <c r="D54" s="35">
        <v>0.83</v>
      </c>
      <c r="E54" s="35">
        <f>SUM(D54:D58)</f>
        <v>7.83</v>
      </c>
      <c r="F54" s="37"/>
      <c r="G54" s="38"/>
      <c r="H54" s="93"/>
    </row>
    <row r="55" spans="1:8" s="69" customFormat="1" x14ac:dyDescent="0.25">
      <c r="A55" s="30" t="s">
        <v>16</v>
      </c>
      <c r="B55" s="31">
        <v>2.2999999999999998</v>
      </c>
      <c r="C55" s="27">
        <f>(7.84-1)/7.84*B55</f>
        <v>2.0066326530612244</v>
      </c>
      <c r="D55" s="27"/>
      <c r="E55" s="27"/>
      <c r="F55" s="32"/>
      <c r="G55" s="40"/>
      <c r="H55" s="95"/>
    </row>
    <row r="56" spans="1:8" x14ac:dyDescent="0.25">
      <c r="A56" s="70" t="s">
        <v>17</v>
      </c>
      <c r="B56" s="60">
        <f>0.285*D56</f>
        <v>1.4249999999999998</v>
      </c>
      <c r="C56" s="60">
        <f>(0.91-1.027)/0.91*B56</f>
        <v>-0.18321428571428552</v>
      </c>
      <c r="D56" s="47">
        <v>5</v>
      </c>
      <c r="E56" s="47"/>
      <c r="F56" s="47"/>
      <c r="G56" s="48"/>
      <c r="H56" s="93"/>
    </row>
    <row r="57" spans="1:8" x14ac:dyDescent="0.25">
      <c r="A57" s="30" t="s">
        <v>2</v>
      </c>
      <c r="B57" s="31">
        <v>1.8</v>
      </c>
      <c r="C57" s="27">
        <f>(7.84-1)/7.84*B57</f>
        <v>1.5704081632653062</v>
      </c>
      <c r="D57" s="27"/>
      <c r="E57" s="27"/>
      <c r="F57" s="32"/>
      <c r="G57" s="40"/>
      <c r="H57" s="93"/>
    </row>
    <row r="58" spans="1:8" ht="14.4" thickBot="1" x14ac:dyDescent="0.3">
      <c r="A58" s="71" t="s">
        <v>3</v>
      </c>
      <c r="B58" s="72">
        <f>85/2.2</f>
        <v>38.636363636363633</v>
      </c>
      <c r="C58" s="72">
        <f>(7.84-1)/7.84*B58</f>
        <v>33.708256029684598</v>
      </c>
      <c r="D58" s="72">
        <v>2</v>
      </c>
      <c r="E58" s="72"/>
      <c r="F58" s="73"/>
      <c r="G58" s="74"/>
      <c r="H58" s="93"/>
    </row>
    <row r="59" spans="1:8" x14ac:dyDescent="0.25">
      <c r="A59" s="75" t="s">
        <v>35</v>
      </c>
      <c r="B59" s="76">
        <v>5.0000000000000001E-3</v>
      </c>
      <c r="H59" s="93"/>
    </row>
    <row r="60" spans="1:8" x14ac:dyDescent="0.25">
      <c r="B60" s="77"/>
      <c r="C60" s="78"/>
    </row>
  </sheetData>
  <phoneticPr fontId="1" type="noConversion"/>
  <pageMargins left="0.75" right="0.75" top="1" bottom="1" header="0.5" footer="0.5"/>
  <pageSetup paperSize="5" scale="84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opLeftCell="A4" workbookViewId="0">
      <selection activeCell="G34" sqref="G34"/>
    </sheetView>
  </sheetViews>
  <sheetFormatPr defaultRowHeight="13.2" x14ac:dyDescent="0.25"/>
  <sheetData>
    <row r="1" spans="1:2" x14ac:dyDescent="0.25">
      <c r="A1">
        <v>0</v>
      </c>
      <c r="B1">
        <v>0</v>
      </c>
    </row>
    <row r="2" spans="1:2" x14ac:dyDescent="0.25">
      <c r="A2">
        <v>360</v>
      </c>
      <c r="B2">
        <v>0.5</v>
      </c>
    </row>
    <row r="3" spans="1:2" x14ac:dyDescent="0.25">
      <c r="A3">
        <v>720</v>
      </c>
      <c r="B3">
        <v>0.67</v>
      </c>
    </row>
    <row r="4" spans="1:2" x14ac:dyDescent="0.25">
      <c r="A4">
        <f>3*360</f>
        <v>1080</v>
      </c>
      <c r="B4">
        <v>0.96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Spear</dc:creator>
  <cp:lastModifiedBy>Mackay, Paul</cp:lastModifiedBy>
  <cp:lastPrinted>2022-05-03T20:21:24Z</cp:lastPrinted>
  <dcterms:created xsi:type="dcterms:W3CDTF">1998-08-20T16:23:39Z</dcterms:created>
  <dcterms:modified xsi:type="dcterms:W3CDTF">2023-04-04T00:15:04Z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2021-04-01T21:24:08Z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21a65870-4ee6-4183-bdba-0000d4ab25c1</vt:lpwstr>
  </property>
</Properties>
</file>