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kayp\moordesign\"/>
    </mc:Choice>
  </mc:AlternateContent>
  <xr:revisionPtr revIDLastSave="0" documentId="13_ncr:1_{DD8AD981-DA7F-458D-8E58-982F7C94C3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B5" i="1" s="1"/>
  <c r="B90" i="1"/>
  <c r="B76" i="1"/>
  <c r="B75" i="1"/>
  <c r="B74" i="1"/>
  <c r="B73" i="1"/>
  <c r="B71" i="1"/>
  <c r="B68" i="1"/>
  <c r="B66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4" i="1"/>
  <c r="B43" i="1"/>
  <c r="B39" i="1"/>
  <c r="B38" i="1"/>
  <c r="B37" i="1"/>
  <c r="B36" i="1"/>
  <c r="B32" i="1"/>
  <c r="B18" i="1"/>
  <c r="B17" i="1"/>
  <c r="B14" i="1"/>
  <c r="J6" i="1"/>
  <c r="B6" i="1" s="1"/>
  <c r="J7" i="1"/>
  <c r="B7" i="1" s="1"/>
  <c r="J8" i="1"/>
  <c r="B8" i="1" s="1"/>
  <c r="J9" i="1"/>
  <c r="B9" i="1" s="1"/>
  <c r="J10" i="1"/>
  <c r="B10" i="1" s="1"/>
  <c r="J11" i="1"/>
  <c r="B11" i="1" s="1"/>
  <c r="J12" i="1"/>
  <c r="B12" i="1" s="1"/>
  <c r="J13" i="1"/>
  <c r="B13" i="1" s="1"/>
  <c r="J15" i="1"/>
  <c r="B15" i="1" s="1"/>
  <c r="J16" i="1"/>
  <c r="B16" i="1" s="1"/>
  <c r="J32" i="1"/>
  <c r="J36" i="1"/>
  <c r="J37" i="1"/>
  <c r="J38" i="1"/>
  <c r="J39" i="1"/>
  <c r="J43" i="1"/>
  <c r="J44" i="1"/>
  <c r="J51" i="1"/>
  <c r="J52" i="1"/>
  <c r="J53" i="1"/>
  <c r="J54" i="1"/>
  <c r="J55" i="1"/>
  <c r="J56" i="1"/>
  <c r="J57" i="1"/>
  <c r="J58" i="1"/>
  <c r="J59" i="1"/>
  <c r="J63" i="1"/>
  <c r="J66" i="1"/>
  <c r="J68" i="1"/>
  <c r="J73" i="1"/>
  <c r="J74" i="1"/>
  <c r="J75" i="1"/>
  <c r="J76" i="1"/>
  <c r="J84" i="1"/>
  <c r="B84" i="1" s="1"/>
  <c r="J85" i="1"/>
  <c r="B85" i="1" s="1"/>
  <c r="J86" i="1"/>
  <c r="B86" i="1" s="1"/>
  <c r="J87" i="1"/>
  <c r="B87" i="1" s="1"/>
  <c r="J88" i="1"/>
  <c r="B88" i="1" s="1"/>
  <c r="J89" i="1"/>
  <c r="B89" i="1" s="1"/>
  <c r="J91" i="1"/>
  <c r="B91" i="1" s="1"/>
  <c r="J92" i="1"/>
  <c r="B92" i="1" s="1"/>
  <c r="J93" i="1"/>
  <c r="B93" i="1" s="1"/>
  <c r="J94" i="1"/>
  <c r="B94" i="1" s="1"/>
  <c r="J95" i="1"/>
  <c r="B95" i="1" s="1"/>
  <c r="J96" i="1"/>
  <c r="B96" i="1" s="1"/>
  <c r="J97" i="1"/>
  <c r="B97" i="1" s="1"/>
  <c r="J98" i="1"/>
  <c r="B98" i="1" s="1"/>
  <c r="J99" i="1"/>
  <c r="B99" i="1" s="1"/>
  <c r="J100" i="1"/>
  <c r="B100" i="1" s="1"/>
  <c r="J101" i="1"/>
  <c r="B101" i="1" s="1"/>
  <c r="J102" i="1"/>
  <c r="B102" i="1" s="1"/>
</calcChain>
</file>

<file path=xl/sharedStrings.xml><?xml version="1.0" encoding="utf-8"?>
<sst xmlns="http://schemas.openxmlformats.org/spreadsheetml/2006/main" count="99" uniqueCount="97">
  <si>
    <t>1/2" Shackle</t>
  </si>
  <si>
    <t>7/8" Shackle</t>
  </si>
  <si>
    <t>1" Shackle</t>
  </si>
  <si>
    <t xml:space="preserve">Weight </t>
  </si>
  <si>
    <t>(kg)</t>
  </si>
  <si>
    <t>Pinger</t>
  </si>
  <si>
    <t>S4</t>
  </si>
  <si>
    <t>5/8" Shackle</t>
  </si>
  <si>
    <t>3/4" Shackle</t>
  </si>
  <si>
    <t>SS30 (WHH)</t>
  </si>
  <si>
    <t>RT661 B2S</t>
  </si>
  <si>
    <t>SS-28</t>
  </si>
  <si>
    <t>RCM7</t>
  </si>
  <si>
    <t>RCM4</t>
  </si>
  <si>
    <t>RCM5</t>
  </si>
  <si>
    <t>RCM11</t>
  </si>
  <si>
    <t>5/16" Amgal</t>
  </si>
  <si>
    <t>1/4" Amgal</t>
  </si>
  <si>
    <t>IO 1090</t>
  </si>
  <si>
    <t>SG-17</t>
  </si>
  <si>
    <t>Interocean 34</t>
  </si>
  <si>
    <t>Vemco</t>
  </si>
  <si>
    <t>7/16" Shackle</t>
  </si>
  <si>
    <t>1/2" Sling Link</t>
  </si>
  <si>
    <t>5/8" Sling Link</t>
  </si>
  <si>
    <t>3/4" Sling Link</t>
  </si>
  <si>
    <t>Baker Trap</t>
  </si>
  <si>
    <t>SS-37</t>
  </si>
  <si>
    <t>SS-41</t>
  </si>
  <si>
    <t>1/4" Kevlar</t>
  </si>
  <si>
    <t>3/4" Nylon</t>
  </si>
  <si>
    <t>1/4" Amsteel</t>
  </si>
  <si>
    <t>WB-17</t>
  </si>
  <si>
    <t>1/2" Polyester</t>
  </si>
  <si>
    <t>5/8" Polyester</t>
  </si>
  <si>
    <t>AR191</t>
  </si>
  <si>
    <t>Instruments</t>
  </si>
  <si>
    <t>Mooring Lines</t>
  </si>
  <si>
    <t>Flotation</t>
  </si>
  <si>
    <t>Hardware</t>
  </si>
  <si>
    <t>WH150</t>
  </si>
  <si>
    <t>WH300 w 4 Vinies</t>
  </si>
  <si>
    <t>AR861 B2S</t>
  </si>
  <si>
    <t>nortek sbe37 frame</t>
  </si>
  <si>
    <t>New Workhorse Frame</t>
  </si>
  <si>
    <t>WH300 w 8 Vinies</t>
  </si>
  <si>
    <t>SBE19+ with frame</t>
  </si>
  <si>
    <t>SBE37-SMP with frame</t>
  </si>
  <si>
    <t>Double Baker Trap</t>
  </si>
  <si>
    <t>3/4" Poly</t>
  </si>
  <si>
    <t>Viny on 1 m of 5/16 wire</t>
  </si>
  <si>
    <t>7/8" Sling Link</t>
  </si>
  <si>
    <t>WH150 w 1000 m float</t>
  </si>
  <si>
    <t>WH300 w 1000 m float</t>
  </si>
  <si>
    <t>Argonaut MD in Frame</t>
  </si>
  <si>
    <t>ADP in Frame</t>
  </si>
  <si>
    <t>3/8" Tenex</t>
  </si>
  <si>
    <t>1" Polysteel</t>
  </si>
  <si>
    <t>5/16" Tenex</t>
  </si>
  <si>
    <t>Miller B212</t>
  </si>
  <si>
    <t>Miller C212</t>
  </si>
  <si>
    <r>
      <t>HF33</t>
    </r>
    <r>
      <rPr>
        <b/>
        <sz val="10"/>
        <color rgb="FFFF0000"/>
        <rFont val="Calibri"/>
        <family val="2"/>
      </rPr>
      <t>↑</t>
    </r>
    <r>
      <rPr>
        <b/>
        <sz val="10"/>
        <color rgb="FFFF0000"/>
        <rFont val="Arial"/>
        <family val="2"/>
      </rPr>
      <t xml:space="preserve"> with Workhorse</t>
    </r>
  </si>
  <si>
    <r>
      <t>HF33</t>
    </r>
    <r>
      <rPr>
        <b/>
        <sz val="10"/>
        <color rgb="FFFF0000"/>
        <rFont val="Calibri"/>
        <family val="2"/>
      </rPr>
      <t>↓</t>
    </r>
    <r>
      <rPr>
        <b/>
        <sz val="10"/>
        <color rgb="FFFF0000"/>
        <rFont val="Arial"/>
        <family val="2"/>
      </rPr>
      <t xml:space="preserve"> with Workhorse</t>
    </r>
  </si>
  <si>
    <r>
      <t>Aquadopp</t>
    </r>
    <r>
      <rPr>
        <b/>
        <sz val="10"/>
        <color rgb="FFFF0000"/>
        <rFont val="Calibri"/>
        <family val="2"/>
      </rPr>
      <t>↑</t>
    </r>
    <r>
      <rPr>
        <b/>
        <sz val="10"/>
        <color rgb="FFFF0000"/>
        <rFont val="Arial"/>
        <family val="2"/>
      </rPr>
      <t>+Microcat</t>
    </r>
  </si>
  <si>
    <r>
      <t>Aquadopp</t>
    </r>
    <r>
      <rPr>
        <b/>
        <sz val="10"/>
        <color rgb="FFFF0000"/>
        <rFont val="Calibri"/>
        <family val="2"/>
      </rPr>
      <t>↓</t>
    </r>
    <r>
      <rPr>
        <b/>
        <sz val="10"/>
        <color rgb="FFFF0000"/>
        <rFont val="Arial"/>
        <family val="2"/>
      </rPr>
      <t>+Microcat</t>
    </r>
  </si>
  <si>
    <t>SBE37</t>
  </si>
  <si>
    <t>Aural + Frame</t>
  </si>
  <si>
    <t>WH300 in Frame</t>
  </si>
  <si>
    <r>
      <t>LR75</t>
    </r>
    <r>
      <rPr>
        <b/>
        <sz val="10"/>
        <color rgb="FFFF0000"/>
        <rFont val="Calibri"/>
        <family val="2"/>
      </rPr>
      <t>↑</t>
    </r>
    <r>
      <rPr>
        <b/>
        <sz val="10"/>
        <color rgb="FFFF0000"/>
        <rFont val="Arial"/>
        <family val="2"/>
      </rPr>
      <t xml:space="preserve"> &amp; 45" Float</t>
    </r>
  </si>
  <si>
    <r>
      <t>LR75</t>
    </r>
    <r>
      <rPr>
        <b/>
        <sz val="10"/>
        <color rgb="FFFF0000"/>
        <rFont val="Calibri"/>
        <family val="2"/>
      </rPr>
      <t>↓</t>
    </r>
    <r>
      <rPr>
        <b/>
        <sz val="10"/>
        <color rgb="FFFF0000"/>
        <rFont val="Arial"/>
        <family val="2"/>
      </rPr>
      <t xml:space="preserve"> &amp; 45" Float</t>
    </r>
  </si>
  <si>
    <t>5/16" Amsteel II+</t>
  </si>
  <si>
    <r>
      <t>AF36</t>
    </r>
    <r>
      <rPr>
        <b/>
        <sz val="10"/>
        <color rgb="FFFF0000"/>
        <rFont val="Calibri"/>
        <family val="2"/>
      </rPr>
      <t>↑</t>
    </r>
    <r>
      <rPr>
        <b/>
        <sz val="10"/>
        <color rgb="FFFF0000"/>
        <rFont val="Arial"/>
        <family val="2"/>
      </rPr>
      <t xml:space="preserve"> with Quartermaster</t>
    </r>
  </si>
  <si>
    <t>SB30</t>
  </si>
  <si>
    <r>
      <t>AF44</t>
    </r>
    <r>
      <rPr>
        <b/>
        <sz val="10"/>
        <color rgb="FFFF0000"/>
        <rFont val="Calibri"/>
        <family val="2"/>
      </rPr>
      <t>↑</t>
    </r>
    <r>
      <rPr>
        <b/>
        <sz val="10"/>
        <color rgb="FFFF0000"/>
        <rFont val="Arial"/>
        <family val="2"/>
      </rPr>
      <t xml:space="preserve"> w LR75</t>
    </r>
  </si>
  <si>
    <r>
      <t>AF44</t>
    </r>
    <r>
      <rPr>
        <b/>
        <sz val="10"/>
        <color rgb="FFFF0000"/>
        <rFont val="Calibri"/>
        <family val="2"/>
      </rPr>
      <t>↑</t>
    </r>
    <r>
      <rPr>
        <b/>
        <sz val="10"/>
        <color rgb="FFFF0000"/>
        <rFont val="Arial"/>
        <family val="2"/>
      </rPr>
      <t xml:space="preserve"> w LR75+SBE37 ODO</t>
    </r>
  </si>
  <si>
    <t>FloTech(old)+Workhorse</t>
  </si>
  <si>
    <t>SM2M+ in Frame</t>
  </si>
  <si>
    <t>HMB-31-0750</t>
  </si>
  <si>
    <r>
      <t>Aquadopp</t>
    </r>
    <r>
      <rPr>
        <b/>
        <sz val="10"/>
        <color rgb="FFFF0000"/>
        <rFont val="Calibri"/>
        <family val="2"/>
      </rPr>
      <t>↓</t>
    </r>
    <r>
      <rPr>
        <b/>
        <sz val="10"/>
        <color rgb="FFFF0000"/>
        <rFont val="Arial"/>
        <family val="2"/>
      </rPr>
      <t>+SBE37ODO</t>
    </r>
  </si>
  <si>
    <t>1" RP12 UB</t>
  </si>
  <si>
    <t>1" RP12 Nylon</t>
  </si>
  <si>
    <t>7/8" RP12 Nylon</t>
  </si>
  <si>
    <t>1" Buoy Chain</t>
  </si>
  <si>
    <t>5 mm Dynice Dux</t>
  </si>
  <si>
    <t>WH600↑ in AF47E +SBE37</t>
  </si>
  <si>
    <r>
      <t>WH300</t>
    </r>
    <r>
      <rPr>
        <b/>
        <sz val="10"/>
        <color rgb="FFFF0000"/>
        <rFont val="Calibri"/>
        <family val="2"/>
      </rPr>
      <t>↑</t>
    </r>
    <r>
      <rPr>
        <b/>
        <sz val="10"/>
        <color rgb="FFFF0000"/>
        <rFont val="Arial"/>
        <family val="2"/>
      </rPr>
      <t xml:space="preserve"> in AF36+SBE37 ODO</t>
    </r>
  </si>
  <si>
    <t>1/4" Tenex</t>
  </si>
  <si>
    <r>
      <t>AF36</t>
    </r>
    <r>
      <rPr>
        <b/>
        <sz val="10"/>
        <color rgb="FFFF0000"/>
        <rFont val="Calibri"/>
        <family val="2"/>
      </rPr>
      <t>↑</t>
    </r>
    <r>
      <rPr>
        <b/>
        <sz val="10"/>
        <color rgb="FFFF0000"/>
        <rFont val="Arial"/>
        <family val="2"/>
      </rPr>
      <t xml:space="preserve"> with Workhorse</t>
    </r>
  </si>
  <si>
    <r>
      <t>AF36</t>
    </r>
    <r>
      <rPr>
        <b/>
        <sz val="10"/>
        <color rgb="FFFF0000"/>
        <rFont val="Calibri"/>
        <family val="2"/>
      </rPr>
      <t>↓</t>
    </r>
    <r>
      <rPr>
        <b/>
        <sz val="10"/>
        <color rgb="FFFF0000"/>
        <rFont val="Arial"/>
        <family val="2"/>
      </rPr>
      <t xml:space="preserve"> with Workhorse</t>
    </r>
  </si>
  <si>
    <t>Triple Baker w 3 Vinies</t>
  </si>
  <si>
    <t>Buoyancy</t>
  </si>
  <si>
    <t>(cm)</t>
  </si>
  <si>
    <t>Length</t>
  </si>
  <si>
    <t>Width(cyl)</t>
  </si>
  <si>
    <t>Diameter(sph)</t>
  </si>
  <si>
    <t>Drag Coef</t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</si>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</sst>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2" fontId="0" fillId="0" borderId="1" xfId="0" applyNumberFormat="1" applyBorder="1"/>
    <xf numFmtId="2" fontId="0" fillId="0" borderId="0" xfId="0" applyNumberFormat="1"/>
    <xf numFmtId="2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right"/>
    </xf>
    <xf numFmtId="2" fontId="1" fillId="0" borderId="0" xfId="0" applyNumberFormat="1" applyFont="1"/>
    <xf numFmtId="2" fontId="0" fillId="0" borderId="2" xfId="0" applyNumberFormat="1" applyBorder="1"/>
    <xf numFmtId="0" fontId="1" fillId="0" borderId="0" xfId="0" applyFont="1" applyBorder="1"/>
    <xf numFmtId="2" fontId="0" fillId="0" borderId="0" xfId="0" applyNumberFormat="1" applyBorder="1"/>
    <xf numFmtId="2" fontId="3" fillId="0" borderId="0" xfId="0" applyNumberFormat="1" applyFont="1"/>
    <xf numFmtId="0" fontId="3" fillId="0" borderId="0" xfId="0" applyFont="1"/>
    <xf numFmtId="0" fontId="5" fillId="0" borderId="0" xfId="0" applyFont="1"/>
    <xf numFmtId="2" fontId="5" fillId="0" borderId="0" xfId="0" applyNumberFormat="1" applyFont="1"/>
    <xf numFmtId="2" fontId="5" fillId="0" borderId="0" xfId="0" applyNumberFormat="1" applyFont="1" applyBorder="1"/>
    <xf numFmtId="0" fontId="5" fillId="0" borderId="0" xfId="0" applyFont="1" applyBorder="1"/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2" fontId="0" fillId="0" borderId="5" xfId="0" applyNumberFormat="1" applyBorder="1"/>
    <xf numFmtId="2" fontId="1" fillId="0" borderId="5" xfId="0" applyNumberFormat="1" applyFont="1" applyBorder="1" applyAlignment="1">
      <alignment horizontal="left"/>
    </xf>
    <xf numFmtId="2" fontId="0" fillId="0" borderId="6" xfId="0" applyNumberFormat="1" applyBorder="1"/>
    <xf numFmtId="2" fontId="0" fillId="0" borderId="8" xfId="0" applyNumberFormat="1" applyBorder="1"/>
    <xf numFmtId="2" fontId="1" fillId="0" borderId="9" xfId="0" applyNumberFormat="1" applyFont="1" applyBorder="1" applyAlignment="1">
      <alignment horizontal="center"/>
    </xf>
    <xf numFmtId="2" fontId="0" fillId="0" borderId="10" xfId="0" applyNumberFormat="1" applyBorder="1"/>
    <xf numFmtId="2" fontId="0" fillId="0" borderId="11" xfId="0" applyNumberFormat="1" applyBorder="1" applyAlignment="1">
      <alignment horizontal="left"/>
    </xf>
    <xf numFmtId="2" fontId="1" fillId="0" borderId="12" xfId="0" applyNumberFormat="1" applyFont="1" applyBorder="1" applyAlignment="1">
      <alignment horizontal="left"/>
    </xf>
    <xf numFmtId="2" fontId="1" fillId="0" borderId="13" xfId="0" applyNumberFormat="1" applyFont="1" applyBorder="1"/>
    <xf numFmtId="2" fontId="1" fillId="0" borderId="7" xfId="0" applyNumberFormat="1" applyFont="1" applyBorder="1" applyAlignment="1">
      <alignment horizontal="left"/>
    </xf>
    <xf numFmtId="1" fontId="0" fillId="0" borderId="0" xfId="0" applyNumberFormat="1"/>
    <xf numFmtId="2" fontId="3" fillId="0" borderId="0" xfId="0" applyNumberFormat="1" applyFont="1" applyBorder="1"/>
    <xf numFmtId="2" fontId="4" fillId="0" borderId="0" xfId="0" applyNumberFormat="1" applyFont="1" applyBorder="1"/>
    <xf numFmtId="165" fontId="4" fillId="0" borderId="0" xfId="0" applyNumberFormat="1" applyFont="1" applyBorder="1"/>
    <xf numFmtId="0" fontId="7" fillId="3" borderId="5" xfId="0" applyFont="1" applyFill="1" applyBorder="1" applyAlignment="1">
      <alignment horizontal="left"/>
    </xf>
    <xf numFmtId="2" fontId="8" fillId="3" borderId="1" xfId="0" applyNumberFormat="1" applyFont="1" applyFill="1" applyBorder="1"/>
    <xf numFmtId="2" fontId="7" fillId="3" borderId="5" xfId="0" applyNumberFormat="1" applyFont="1" applyFill="1" applyBorder="1"/>
    <xf numFmtId="2" fontId="7" fillId="3" borderId="7" xfId="0" applyNumberFormat="1" applyFont="1" applyFill="1" applyBorder="1"/>
    <xf numFmtId="2" fontId="8" fillId="3" borderId="8" xfId="0" applyNumberFormat="1" applyFont="1" applyFill="1" applyBorder="1"/>
    <xf numFmtId="2" fontId="7" fillId="3" borderId="12" xfId="0" applyNumberFormat="1" applyFont="1" applyFill="1" applyBorder="1" applyAlignment="1">
      <alignment horizontal="left"/>
    </xf>
    <xf numFmtId="0" fontId="9" fillId="2" borderId="1" xfId="0" applyFont="1" applyFill="1" applyBorder="1"/>
    <xf numFmtId="2" fontId="10" fillId="2" borderId="1" xfId="0" applyNumberFormat="1" applyFont="1" applyFill="1" applyBorder="1"/>
    <xf numFmtId="0" fontId="10" fillId="2" borderId="1" xfId="0" applyFont="1" applyFill="1" applyBorder="1"/>
    <xf numFmtId="2" fontId="9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2" fontId="9" fillId="2" borderId="2" xfId="0" applyNumberFormat="1" applyFont="1" applyFill="1" applyBorder="1" applyAlignment="1">
      <alignment horizontal="left"/>
    </xf>
    <xf numFmtId="2" fontId="10" fillId="2" borderId="2" xfId="0" applyNumberFormat="1" applyFont="1" applyFill="1" applyBorder="1"/>
    <xf numFmtId="0" fontId="9" fillId="2" borderId="14" xfId="0" applyFont="1" applyFill="1" applyBorder="1"/>
    <xf numFmtId="2" fontId="10" fillId="2" borderId="14" xfId="0" applyNumberFormat="1" applyFont="1" applyFill="1" applyBorder="1"/>
    <xf numFmtId="2" fontId="9" fillId="2" borderId="5" xfId="0" applyNumberFormat="1" applyFont="1" applyFill="1" applyBorder="1" applyAlignment="1">
      <alignment horizontal="left"/>
    </xf>
    <xf numFmtId="0" fontId="12" fillId="0" borderId="0" xfId="0" applyFont="1"/>
    <xf numFmtId="2" fontId="1" fillId="4" borderId="4" xfId="0" applyNumberFormat="1" applyFont="1" applyFill="1" applyBorder="1" applyAlignment="1">
      <alignment horizontal="left"/>
    </xf>
    <xf numFmtId="2" fontId="1" fillId="4" borderId="5" xfId="0" applyNumberFormat="1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9" fillId="2" borderId="5" xfId="0" applyFont="1" applyFill="1" applyBorder="1" applyAlignment="1">
      <alignment wrapText="1"/>
    </xf>
    <xf numFmtId="0" fontId="9" fillId="2" borderId="5" xfId="0" applyFont="1" applyFill="1" applyBorder="1"/>
    <xf numFmtId="2" fontId="12" fillId="0" borderId="0" xfId="0" applyNumberFormat="1" applyFont="1"/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4"/>
  <sheetViews>
    <sheetView tabSelected="1" topLeftCell="A3" zoomScale="145" zoomScaleNormal="145" workbookViewId="0">
      <pane ySplit="2" topLeftCell="A5" activePane="bottomLeft" state="frozenSplit"/>
      <selection activeCell="A3" sqref="A3"/>
      <selection pane="bottomLeft" activeCell="F81" sqref="F81"/>
    </sheetView>
  </sheetViews>
  <sheetFormatPr defaultColWidth="9.109375" defaultRowHeight="13.2" x14ac:dyDescent="0.25"/>
  <cols>
    <col min="1" max="1" width="27.5546875" style="2" bestFit="1" customWidth="1"/>
    <col min="2" max="2" width="11.44140625" style="2" bestFit="1" customWidth="1"/>
    <col min="3" max="3" width="7.109375" style="2" bestFit="1" customWidth="1"/>
    <col min="4" max="4" width="11.109375" style="5" customWidth="1"/>
    <col min="5" max="5" width="13.44140625" style="2" customWidth="1"/>
    <col min="6" max="6" width="13.44140625" style="2" bestFit="1" customWidth="1"/>
    <col min="7" max="9" width="9.109375" style="2"/>
    <col min="10" max="10" width="7.44140625" style="2" bestFit="1" customWidth="1"/>
    <col min="11" max="16384" width="9.109375" style="2"/>
  </cols>
  <sheetData>
    <row r="1" spans="1:10" x14ac:dyDescent="0.25">
      <c r="C1" s="2">
        <v>0</v>
      </c>
      <c r="D1" s="2"/>
      <c r="E1" s="5"/>
    </row>
    <row r="2" spans="1:10" ht="13.8" thickBot="1" x14ac:dyDescent="0.3">
      <c r="A2" s="29">
        <v>500</v>
      </c>
      <c r="C2" s="2">
        <v>0</v>
      </c>
      <c r="D2" s="2"/>
      <c r="E2" s="5"/>
    </row>
    <row r="3" spans="1:10" x14ac:dyDescent="0.25">
      <c r="A3" s="23" t="s">
        <v>39</v>
      </c>
      <c r="B3" s="15" t="s">
        <v>90</v>
      </c>
      <c r="C3" s="2" t="s">
        <v>92</v>
      </c>
      <c r="D3" s="56" t="s">
        <v>93</v>
      </c>
      <c r="E3" s="56" t="s">
        <v>94</v>
      </c>
      <c r="F3" s="2" t="s">
        <v>95</v>
      </c>
      <c r="G3" s="2" t="s">
        <v>96</v>
      </c>
      <c r="J3" s="15" t="s">
        <v>3</v>
      </c>
    </row>
    <row r="4" spans="1:10" ht="13.5" customHeight="1" x14ac:dyDescent="0.25">
      <c r="A4" s="16"/>
      <c r="B4" s="3" t="s">
        <v>4</v>
      </c>
      <c r="C4" s="2" t="s">
        <v>91</v>
      </c>
      <c r="D4" s="2"/>
      <c r="J4" s="3" t="s">
        <v>4</v>
      </c>
    </row>
    <row r="5" spans="1:10" x14ac:dyDescent="0.25">
      <c r="A5" s="17" t="s">
        <v>22</v>
      </c>
      <c r="B5" s="2">
        <f>((7.84-1)/7.84*J5)*-1</f>
        <v>-0.19431818181818181</v>
      </c>
      <c r="C5" s="2">
        <v>4</v>
      </c>
      <c r="D5" s="2">
        <v>3</v>
      </c>
      <c r="E5" s="2">
        <v>0</v>
      </c>
      <c r="F5" s="2">
        <v>1.3</v>
      </c>
      <c r="G5" s="2">
        <v>1</v>
      </c>
      <c r="J5" s="4">
        <f>0.49/2.2</f>
        <v>0.22272727272727272</v>
      </c>
    </row>
    <row r="6" spans="1:10" x14ac:dyDescent="0.25">
      <c r="A6" s="18" t="s">
        <v>0</v>
      </c>
      <c r="B6" s="2">
        <f>((7.84-1)/7.84*J6)*-1</f>
        <v>-0.31328849721706864</v>
      </c>
      <c r="C6" s="2">
        <v>5</v>
      </c>
      <c r="D6" s="2">
        <v>2.5</v>
      </c>
      <c r="E6" s="2">
        <v>0</v>
      </c>
      <c r="F6" s="2">
        <v>1.3</v>
      </c>
      <c r="G6" s="2">
        <v>1</v>
      </c>
      <c r="J6" s="1">
        <f>0.79/2.2</f>
        <v>0.35909090909090907</v>
      </c>
    </row>
    <row r="7" spans="1:10" x14ac:dyDescent="0.25">
      <c r="A7" s="19" t="s">
        <v>7</v>
      </c>
      <c r="B7" s="2">
        <f>((7.84-1)/7.84*J7)*-1</f>
        <v>-0.66623376623376618</v>
      </c>
      <c r="C7" s="2">
        <v>6</v>
      </c>
      <c r="D7" s="2">
        <v>5</v>
      </c>
      <c r="E7" s="2">
        <v>0</v>
      </c>
      <c r="F7" s="2">
        <v>1.3</v>
      </c>
      <c r="G7" s="2">
        <v>1</v>
      </c>
      <c r="J7" s="1">
        <f>1.68/2.2</f>
        <v>0.76363636363636356</v>
      </c>
    </row>
    <row r="8" spans="1:10" x14ac:dyDescent="0.25">
      <c r="A8" s="19" t="s">
        <v>8</v>
      </c>
      <c r="B8" s="2">
        <f>((7.84-1)/7.84*J8)*-1</f>
        <v>-1.0786641929499072</v>
      </c>
      <c r="C8" s="2">
        <v>7.0000000000000009</v>
      </c>
      <c r="D8" s="2">
        <v>2.5</v>
      </c>
      <c r="E8" s="2">
        <v>0</v>
      </c>
      <c r="F8" s="2">
        <v>1.3</v>
      </c>
      <c r="G8" s="2">
        <v>1</v>
      </c>
      <c r="J8" s="1">
        <f>2.72/2.2</f>
        <v>1.2363636363636363</v>
      </c>
    </row>
    <row r="9" spans="1:10" x14ac:dyDescent="0.25">
      <c r="A9" s="18" t="s">
        <v>1</v>
      </c>
      <c r="B9" s="2">
        <f>((7.84-1)/7.84*J9)*-1</f>
        <v>-1.5664424860853432</v>
      </c>
      <c r="C9" s="2">
        <v>8</v>
      </c>
      <c r="D9" s="2">
        <v>3</v>
      </c>
      <c r="E9" s="2">
        <v>0</v>
      </c>
      <c r="F9" s="2">
        <v>1.3</v>
      </c>
      <c r="G9" s="2">
        <v>1</v>
      </c>
      <c r="J9" s="1">
        <f>3.95/2.2</f>
        <v>1.7954545454545454</v>
      </c>
    </row>
    <row r="10" spans="1:10" x14ac:dyDescent="0.25">
      <c r="A10" s="18" t="s">
        <v>2</v>
      </c>
      <c r="B10" s="2">
        <f>((7.84-1)/7.84*J10)*-1</f>
        <v>-2.244573283858998</v>
      </c>
      <c r="C10" s="2">
        <v>10</v>
      </c>
      <c r="D10" s="2">
        <v>3</v>
      </c>
      <c r="E10" s="2">
        <v>0</v>
      </c>
      <c r="F10" s="2">
        <v>1.3</v>
      </c>
      <c r="G10" s="2">
        <v>1</v>
      </c>
      <c r="J10" s="1">
        <f>5.66/2.2</f>
        <v>2.5727272727272728</v>
      </c>
    </row>
    <row r="11" spans="1:10" x14ac:dyDescent="0.25">
      <c r="A11" s="18" t="s">
        <v>23</v>
      </c>
      <c r="B11" s="2">
        <f>((7.84-1)/7.84*J11)*-1</f>
        <v>-0.21811224489795919</v>
      </c>
      <c r="C11" s="2">
        <v>8</v>
      </c>
      <c r="D11" s="2">
        <v>3</v>
      </c>
      <c r="E11" s="2">
        <v>0</v>
      </c>
      <c r="F11" s="2">
        <v>1.3</v>
      </c>
      <c r="G11" s="2">
        <v>1</v>
      </c>
      <c r="J11" s="1">
        <f>0.55/2.2</f>
        <v>0.25</v>
      </c>
    </row>
    <row r="12" spans="1:10" x14ac:dyDescent="0.25">
      <c r="A12" s="18" t="s">
        <v>24</v>
      </c>
      <c r="B12" s="2">
        <f>((7.84-1)/7.84*J12)*-1</f>
        <v>-0.42036178107606681</v>
      </c>
      <c r="C12" s="2">
        <v>10</v>
      </c>
      <c r="D12" s="2">
        <v>5</v>
      </c>
      <c r="E12" s="2">
        <v>0</v>
      </c>
      <c r="F12" s="2">
        <v>1.3</v>
      </c>
      <c r="G12" s="2">
        <v>1</v>
      </c>
      <c r="J12" s="1">
        <f>1.06/2.2</f>
        <v>0.48181818181818181</v>
      </c>
    </row>
    <row r="13" spans="1:10" x14ac:dyDescent="0.25">
      <c r="A13" s="18" t="s">
        <v>25</v>
      </c>
      <c r="B13" s="2">
        <f>((7.84-1)/7.84*J13)*-1</f>
        <v>-0.74554730983302397</v>
      </c>
      <c r="C13" s="2">
        <v>11</v>
      </c>
      <c r="D13" s="2">
        <v>2.5</v>
      </c>
      <c r="E13" s="2">
        <v>0</v>
      </c>
      <c r="F13" s="2">
        <v>1.3</v>
      </c>
      <c r="G13" s="2">
        <v>1</v>
      </c>
      <c r="J13" s="1">
        <f>1.88/2.2</f>
        <v>0.85454545454545439</v>
      </c>
    </row>
    <row r="14" spans="1:10" x14ac:dyDescent="0.25">
      <c r="A14" s="18" t="s">
        <v>51</v>
      </c>
      <c r="B14" s="2">
        <f>((7.84-1)/7.84*J14)*-1</f>
        <v>-1.090561224489796</v>
      </c>
      <c r="C14" s="2">
        <v>13</v>
      </c>
      <c r="D14" s="2">
        <v>3</v>
      </c>
      <c r="E14" s="2">
        <v>0</v>
      </c>
      <c r="J14" s="1">
        <v>1.25</v>
      </c>
    </row>
    <row r="15" spans="1:10" x14ac:dyDescent="0.25">
      <c r="A15" s="18" t="s">
        <v>43</v>
      </c>
      <c r="B15" s="2">
        <f>((7.84-1)/7.84*J15)*-1</f>
        <v>-7.5248724489795924</v>
      </c>
      <c r="C15" s="2">
        <v>90</v>
      </c>
      <c r="D15" s="2"/>
      <c r="E15" s="2">
        <v>0</v>
      </c>
      <c r="J15" s="1">
        <f>34.5/4</f>
        <v>8.625</v>
      </c>
    </row>
    <row r="16" spans="1:10" x14ac:dyDescent="0.25">
      <c r="A16" s="18" t="s">
        <v>44</v>
      </c>
      <c r="B16" s="2">
        <f>((7.84-1)/7.84*J16)*-1</f>
        <v>-11.778061224489797</v>
      </c>
      <c r="C16" s="2">
        <v>129</v>
      </c>
      <c r="D16" s="2"/>
      <c r="E16" s="2">
        <v>0</v>
      </c>
      <c r="J16" s="1">
        <f>54/4</f>
        <v>13.5</v>
      </c>
    </row>
    <row r="17" spans="1:10" x14ac:dyDescent="0.25">
      <c r="A17" s="20" t="s">
        <v>59</v>
      </c>
      <c r="B17" s="2">
        <f>((7.84-1)/7.84*J17)*-1</f>
        <v>-0.66829591836734692</v>
      </c>
      <c r="C17" s="2">
        <v>10</v>
      </c>
      <c r="D17" s="2"/>
      <c r="E17" s="2">
        <v>0</v>
      </c>
      <c r="J17" s="1">
        <v>0.76600000000000001</v>
      </c>
    </row>
    <row r="18" spans="1:10" x14ac:dyDescent="0.25">
      <c r="A18" s="20" t="s">
        <v>60</v>
      </c>
      <c r="B18" s="2">
        <f>((7.84-1)/7.84*J18)*-1</f>
        <v>-1.0731122448979591</v>
      </c>
      <c r="C18" s="2">
        <v>15</v>
      </c>
      <c r="D18" s="2"/>
      <c r="E18" s="2">
        <v>0</v>
      </c>
      <c r="J18" s="1">
        <v>1.23</v>
      </c>
    </row>
    <row r="19" spans="1:10" ht="13.8" thickBot="1" x14ac:dyDescent="0.3">
      <c r="A19" s="28" t="s">
        <v>5</v>
      </c>
      <c r="B19" s="2">
        <v>-4.0999999999999996</v>
      </c>
      <c r="C19" s="2">
        <v>60</v>
      </c>
      <c r="D19" s="2">
        <v>5</v>
      </c>
      <c r="E19" s="2">
        <v>0</v>
      </c>
      <c r="F19" s="2">
        <v>1.3</v>
      </c>
      <c r="G19" s="2">
        <v>1</v>
      </c>
      <c r="J19" s="22"/>
    </row>
    <row r="20" spans="1:10" x14ac:dyDescent="0.25">
      <c r="A20" s="21"/>
      <c r="C20" s="2">
        <v>0</v>
      </c>
      <c r="D20" s="2"/>
      <c r="J20" s="8"/>
    </row>
    <row r="21" spans="1:10" ht="13.8" thickBot="1" x14ac:dyDescent="0.3">
      <c r="A21" s="25"/>
      <c r="C21" s="2">
        <v>0</v>
      </c>
      <c r="D21" s="2"/>
      <c r="J21" s="24"/>
    </row>
    <row r="22" spans="1:10" s="5" customFormat="1" ht="13.8" thickBot="1" x14ac:dyDescent="0.3">
      <c r="A22" s="26" t="s">
        <v>38</v>
      </c>
      <c r="B22" s="2"/>
      <c r="C22" s="2">
        <v>0</v>
      </c>
      <c r="J22" s="27"/>
    </row>
    <row r="23" spans="1:10" ht="13.8" thickTop="1" x14ac:dyDescent="0.25">
      <c r="A23" s="50" t="s">
        <v>32</v>
      </c>
      <c r="B23" s="2">
        <v>18</v>
      </c>
      <c r="C23" s="2">
        <v>60</v>
      </c>
      <c r="D23" s="2"/>
      <c r="J23" s="6">
        <v>23</v>
      </c>
    </row>
    <row r="24" spans="1:10" x14ac:dyDescent="0.25">
      <c r="A24" s="51" t="s">
        <v>19</v>
      </c>
      <c r="B24" s="2">
        <v>23</v>
      </c>
      <c r="C24" s="2">
        <v>60</v>
      </c>
      <c r="D24" s="2"/>
      <c r="J24" s="1">
        <v>18</v>
      </c>
    </row>
    <row r="25" spans="1:10" customFormat="1" x14ac:dyDescent="0.25">
      <c r="A25" s="52" t="s">
        <v>11</v>
      </c>
      <c r="B25" s="2">
        <v>133</v>
      </c>
      <c r="C25" s="2">
        <v>111.00000000000001</v>
      </c>
      <c r="J25" s="1">
        <v>64</v>
      </c>
    </row>
    <row r="26" spans="1:10" customFormat="1" x14ac:dyDescent="0.25">
      <c r="A26" s="52" t="s">
        <v>9</v>
      </c>
      <c r="B26" s="2">
        <v>161</v>
      </c>
      <c r="C26" s="2">
        <v>111.00000000000001</v>
      </c>
      <c r="J26" s="1">
        <v>76</v>
      </c>
    </row>
    <row r="27" spans="1:10" customFormat="1" x14ac:dyDescent="0.25">
      <c r="A27" s="52" t="s">
        <v>72</v>
      </c>
      <c r="B27" s="2">
        <v>166</v>
      </c>
      <c r="C27" s="2">
        <v>87</v>
      </c>
      <c r="J27" s="1">
        <v>76</v>
      </c>
    </row>
    <row r="28" spans="1:10" x14ac:dyDescent="0.25">
      <c r="A28" s="51" t="s">
        <v>77</v>
      </c>
      <c r="B28" s="2">
        <v>135</v>
      </c>
      <c r="C28" s="2">
        <v>90</v>
      </c>
      <c r="D28" s="2"/>
      <c r="J28" s="1">
        <v>156</v>
      </c>
    </row>
    <row r="29" spans="1:10" x14ac:dyDescent="0.25">
      <c r="A29" s="51" t="s">
        <v>20</v>
      </c>
      <c r="B29" s="2">
        <v>190</v>
      </c>
      <c r="C29" s="2">
        <v>97</v>
      </c>
      <c r="D29" s="2">
        <v>0</v>
      </c>
      <c r="E29" s="2">
        <v>86</v>
      </c>
      <c r="F29" s="2">
        <v>0.65</v>
      </c>
      <c r="G29" s="2">
        <v>1</v>
      </c>
      <c r="J29" s="1">
        <v>156</v>
      </c>
    </row>
    <row r="30" spans="1:10" customFormat="1" x14ac:dyDescent="0.25">
      <c r="A30" s="52" t="s">
        <v>27</v>
      </c>
      <c r="B30" s="2">
        <v>300</v>
      </c>
      <c r="C30" s="2">
        <v>129</v>
      </c>
      <c r="J30" s="1">
        <v>156</v>
      </c>
    </row>
    <row r="31" spans="1:10" customFormat="1" x14ac:dyDescent="0.25">
      <c r="A31" s="52" t="s">
        <v>28</v>
      </c>
      <c r="B31" s="2">
        <v>435</v>
      </c>
      <c r="C31" s="2">
        <v>135</v>
      </c>
      <c r="J31" s="1">
        <v>183</v>
      </c>
    </row>
    <row r="32" spans="1:10" customFormat="1" ht="13.8" thickBot="1" x14ac:dyDescent="0.3">
      <c r="A32" s="53" t="s">
        <v>50</v>
      </c>
      <c r="B32" s="2">
        <f>(-21+0.7)*-1</f>
        <v>20.3</v>
      </c>
      <c r="C32" s="2">
        <v>100</v>
      </c>
      <c r="J32" s="22">
        <f>2.7+0.8</f>
        <v>3.5</v>
      </c>
    </row>
    <row r="33" spans="1:10" x14ac:dyDescent="0.25">
      <c r="C33" s="2">
        <v>0</v>
      </c>
      <c r="D33" s="2"/>
    </row>
    <row r="34" spans="1:10" customFormat="1" x14ac:dyDescent="0.25">
      <c r="A34" s="7"/>
      <c r="B34" s="2"/>
      <c r="C34" s="2">
        <v>0</v>
      </c>
      <c r="J34" s="8"/>
    </row>
    <row r="35" spans="1:10" customFormat="1" ht="13.8" thickBot="1" x14ac:dyDescent="0.3">
      <c r="A35" s="46" t="s">
        <v>36</v>
      </c>
      <c r="B35" s="2"/>
      <c r="C35" s="2">
        <v>0</v>
      </c>
      <c r="J35" s="47"/>
    </row>
    <row r="36" spans="1:10" customFormat="1" ht="13.8" thickTop="1" x14ac:dyDescent="0.25">
      <c r="A36" s="44" t="s">
        <v>55</v>
      </c>
      <c r="B36" s="2">
        <f>(36/2.2+(7.84-1)/7.84*37/2.2)*-1</f>
        <v>-31.036641929499069</v>
      </c>
      <c r="C36" s="2">
        <v>175</v>
      </c>
      <c r="J36" s="45">
        <f>78/2.2+37/2.2</f>
        <v>52.272727272727266</v>
      </c>
    </row>
    <row r="37" spans="1:10" customFormat="1" ht="13.8" x14ac:dyDescent="0.3">
      <c r="A37" s="42" t="s">
        <v>63</v>
      </c>
      <c r="B37" s="2">
        <f>(1.2+1.8+7.52)*-1</f>
        <v>-10.52</v>
      </c>
      <c r="C37" s="2">
        <v>90</v>
      </c>
      <c r="J37" s="40">
        <f>4.4+2.3+8.63</f>
        <v>15.330000000000002</v>
      </c>
    </row>
    <row r="38" spans="1:10" customFormat="1" ht="13.8" x14ac:dyDescent="0.3">
      <c r="A38" s="42" t="s">
        <v>64</v>
      </c>
      <c r="B38" s="2">
        <f>(1.2+1.8+7.52)*-1</f>
        <v>-10.52</v>
      </c>
      <c r="C38" s="2">
        <v>110.00000000000001</v>
      </c>
      <c r="J38" s="40">
        <f>4.4+2.3+8.63</f>
        <v>15.330000000000002</v>
      </c>
    </row>
    <row r="39" spans="1:10" customFormat="1" ht="13.8" x14ac:dyDescent="0.3">
      <c r="A39" s="42" t="s">
        <v>78</v>
      </c>
      <c r="B39" s="2">
        <f>(1.2+1.8+7.52)*-1</f>
        <v>-10.52</v>
      </c>
      <c r="C39" s="2">
        <v>110.00000000000001</v>
      </c>
      <c r="J39" s="40">
        <f>4.4+2.3+8.63</f>
        <v>15.330000000000002</v>
      </c>
    </row>
    <row r="40" spans="1:10" customFormat="1" x14ac:dyDescent="0.25">
      <c r="A40" s="42" t="s">
        <v>35</v>
      </c>
      <c r="B40" s="2">
        <v>-24</v>
      </c>
      <c r="C40" s="2">
        <v>80</v>
      </c>
      <c r="J40" s="40">
        <v>31</v>
      </c>
    </row>
    <row r="41" spans="1:10" customFormat="1" x14ac:dyDescent="0.25">
      <c r="A41" s="42" t="s">
        <v>42</v>
      </c>
      <c r="B41" s="2">
        <v>-22</v>
      </c>
      <c r="C41" s="2">
        <v>75</v>
      </c>
      <c r="D41">
        <v>13</v>
      </c>
      <c r="E41">
        <v>0</v>
      </c>
      <c r="F41">
        <v>1.3</v>
      </c>
      <c r="G41">
        <v>1</v>
      </c>
      <c r="J41" s="40">
        <v>30</v>
      </c>
    </row>
    <row r="42" spans="1:10" s="12" customFormat="1" x14ac:dyDescent="0.25">
      <c r="A42" s="39" t="s">
        <v>18</v>
      </c>
      <c r="B42" s="2">
        <v>-7.3</v>
      </c>
      <c r="C42" s="2">
        <v>81</v>
      </c>
      <c r="D42" s="13"/>
      <c r="E42" s="13"/>
      <c r="F42" s="13"/>
      <c r="J42" s="40">
        <v>19</v>
      </c>
    </row>
    <row r="43" spans="1:10" s="12" customFormat="1" x14ac:dyDescent="0.25">
      <c r="A43" s="42" t="s">
        <v>54</v>
      </c>
      <c r="B43" s="2">
        <f>(1.4+(7.84-1)/7.84*35/4.4)*-1</f>
        <v>-8.3399350649350641</v>
      </c>
      <c r="C43" s="2">
        <v>117</v>
      </c>
      <c r="J43" s="40">
        <f>5.6+35/4.4</f>
        <v>13.554545454545455</v>
      </c>
    </row>
    <row r="44" spans="1:10" x14ac:dyDescent="0.25">
      <c r="A44" s="48" t="s">
        <v>66</v>
      </c>
      <c r="B44" s="2">
        <f>(0.875*40/2.2+19)*-1</f>
        <v>-34.909090909090907</v>
      </c>
      <c r="C44" s="2">
        <v>220.00000000000003</v>
      </c>
      <c r="D44" s="2"/>
      <c r="J44" s="40">
        <f>40/2.2+45</f>
        <v>63.18181818181818</v>
      </c>
    </row>
    <row r="45" spans="1:10" s="12" customFormat="1" x14ac:dyDescent="0.25">
      <c r="A45" s="39" t="s">
        <v>26</v>
      </c>
      <c r="B45" s="2">
        <v>-21</v>
      </c>
      <c r="C45" s="2">
        <v>60</v>
      </c>
      <c r="J45" s="41">
        <v>40</v>
      </c>
    </row>
    <row r="46" spans="1:10" s="12" customFormat="1" x14ac:dyDescent="0.25">
      <c r="A46" s="39" t="s">
        <v>48</v>
      </c>
      <c r="B46" s="2">
        <v>-30</v>
      </c>
      <c r="C46" s="2">
        <v>55.000000000000007</v>
      </c>
      <c r="J46" s="41">
        <v>65</v>
      </c>
    </row>
    <row r="47" spans="1:10" s="11" customFormat="1" x14ac:dyDescent="0.25">
      <c r="A47" s="55" t="s">
        <v>89</v>
      </c>
      <c r="B47" s="2">
        <f>(21-72)*-1</f>
        <v>51</v>
      </c>
      <c r="C47" s="2">
        <v>60</v>
      </c>
      <c r="D47" s="11">
        <v>55</v>
      </c>
      <c r="E47" s="11">
        <v>0</v>
      </c>
      <c r="F47" s="11">
        <v>1.3</v>
      </c>
      <c r="G47" s="11">
        <v>1</v>
      </c>
      <c r="J47" s="41">
        <v>40</v>
      </c>
    </row>
    <row r="48" spans="1:10" s="12" customFormat="1" ht="13.8" x14ac:dyDescent="0.3">
      <c r="A48" s="39" t="s">
        <v>61</v>
      </c>
      <c r="B48" s="2">
        <f>(-136+4.5)*-1</f>
        <v>131.5</v>
      </c>
      <c r="C48" s="2">
        <v>143</v>
      </c>
      <c r="D48" s="12">
        <v>0</v>
      </c>
      <c r="E48" s="12">
        <v>83</v>
      </c>
      <c r="F48" s="12">
        <v>0.65</v>
      </c>
      <c r="G48" s="12">
        <v>1</v>
      </c>
      <c r="J48" s="40">
        <v>149</v>
      </c>
    </row>
    <row r="49" spans="1:10" s="12" customFormat="1" ht="13.8" x14ac:dyDescent="0.3">
      <c r="A49" s="39" t="s">
        <v>62</v>
      </c>
      <c r="B49" s="2">
        <f>(-136+4.5)*-1</f>
        <v>131.5</v>
      </c>
      <c r="C49" s="2">
        <v>143</v>
      </c>
      <c r="J49" s="40">
        <v>149</v>
      </c>
    </row>
    <row r="50" spans="1:10" s="12" customFormat="1" x14ac:dyDescent="0.25">
      <c r="A50" s="39" t="s">
        <v>75</v>
      </c>
      <c r="B50" s="2">
        <f>(-(600/2.2)+43.4)*-1</f>
        <v>229.32727272727269</v>
      </c>
      <c r="C50" s="2">
        <v>200</v>
      </c>
      <c r="J50" s="40"/>
    </row>
    <row r="51" spans="1:10" s="12" customFormat="1" ht="13.8" x14ac:dyDescent="0.3">
      <c r="A51" s="39" t="s">
        <v>71</v>
      </c>
      <c r="B51" s="2">
        <f>(-160+43.4)*-1</f>
        <v>116.6</v>
      </c>
      <c r="C51" s="2">
        <v>150</v>
      </c>
      <c r="J51" s="40">
        <f>208+56</f>
        <v>264</v>
      </c>
    </row>
    <row r="52" spans="1:10" s="12" customFormat="1" x14ac:dyDescent="0.25">
      <c r="A52" s="54" t="s">
        <v>84</v>
      </c>
      <c r="B52" s="2">
        <f>(-180+4.5)*-1</f>
        <v>175.5</v>
      </c>
      <c r="C52" s="2">
        <v>170</v>
      </c>
      <c r="J52" s="40">
        <f>225+13</f>
        <v>238</v>
      </c>
    </row>
    <row r="53" spans="1:10" s="12" customFormat="1" ht="13.8" x14ac:dyDescent="0.3">
      <c r="A53" s="39" t="s">
        <v>85</v>
      </c>
      <c r="B53" s="2">
        <f>(-160+4.5)*-1</f>
        <v>155.5</v>
      </c>
      <c r="C53" s="2">
        <v>150</v>
      </c>
      <c r="J53" s="40">
        <f>208+13</f>
        <v>221</v>
      </c>
    </row>
    <row r="54" spans="1:10" s="12" customFormat="1" ht="13.8" x14ac:dyDescent="0.3">
      <c r="A54" s="39" t="s">
        <v>87</v>
      </c>
      <c r="B54" s="2">
        <f>(-175+4.5)*-1</f>
        <v>170.5</v>
      </c>
      <c r="C54" s="2">
        <v>150</v>
      </c>
      <c r="D54" s="12">
        <v>0</v>
      </c>
      <c r="E54" s="12">
        <v>91</v>
      </c>
      <c r="F54" s="12">
        <v>0.65</v>
      </c>
      <c r="G54" s="12">
        <v>1</v>
      </c>
      <c r="J54" s="40">
        <f>197.8+56</f>
        <v>253.8</v>
      </c>
    </row>
    <row r="55" spans="1:10" s="12" customFormat="1" ht="13.8" x14ac:dyDescent="0.3">
      <c r="A55" s="39" t="s">
        <v>88</v>
      </c>
      <c r="B55" s="2">
        <f>(-175+4.5)*-1</f>
        <v>170.5</v>
      </c>
      <c r="C55" s="2">
        <v>150</v>
      </c>
      <c r="D55" s="12">
        <v>0</v>
      </c>
      <c r="E55" s="12">
        <v>91</v>
      </c>
      <c r="F55" s="12">
        <v>0.65</v>
      </c>
      <c r="G55" s="12">
        <v>1</v>
      </c>
      <c r="J55" s="40">
        <f>197+56</f>
        <v>253</v>
      </c>
    </row>
    <row r="56" spans="1:10" s="12" customFormat="1" ht="13.8" x14ac:dyDescent="0.3">
      <c r="A56" s="39" t="s">
        <v>73</v>
      </c>
      <c r="B56" s="2">
        <f>(-341+55)*-1</f>
        <v>286</v>
      </c>
      <c r="C56" s="2">
        <v>213</v>
      </c>
      <c r="D56" s="13">
        <v>0</v>
      </c>
      <c r="E56" s="13">
        <v>112</v>
      </c>
      <c r="F56" s="13">
        <v>0.65</v>
      </c>
      <c r="G56" s="12">
        <v>1</v>
      </c>
      <c r="J56" s="40">
        <f>362+86</f>
        <v>448</v>
      </c>
    </row>
    <row r="57" spans="1:10" s="12" customFormat="1" ht="13.8" x14ac:dyDescent="0.3">
      <c r="A57" s="39" t="s">
        <v>74</v>
      </c>
      <c r="B57" s="2">
        <f>(-341+55+3)*-1</f>
        <v>283</v>
      </c>
      <c r="C57" s="2">
        <v>213</v>
      </c>
      <c r="D57" s="13"/>
      <c r="E57" s="13"/>
      <c r="F57" s="13"/>
      <c r="J57" s="40">
        <f>362+86+4</f>
        <v>452</v>
      </c>
    </row>
    <row r="58" spans="1:10" s="12" customFormat="1" ht="13.8" x14ac:dyDescent="0.3">
      <c r="A58" s="42" t="s">
        <v>68</v>
      </c>
      <c r="B58" s="2">
        <f>(-309+55)*-1</f>
        <v>254</v>
      </c>
      <c r="C58" s="2">
        <v>213.39999999999998</v>
      </c>
      <c r="D58" s="13"/>
      <c r="E58" s="13"/>
      <c r="F58" s="13"/>
      <c r="J58" s="40">
        <f>830/2.2+86</f>
        <v>463.27272727272725</v>
      </c>
    </row>
    <row r="59" spans="1:10" s="12" customFormat="1" ht="13.8" x14ac:dyDescent="0.3">
      <c r="A59" s="42" t="s">
        <v>69</v>
      </c>
      <c r="B59" s="2">
        <f>(-309+55)*-1</f>
        <v>254</v>
      </c>
      <c r="C59" s="2">
        <v>213</v>
      </c>
      <c r="D59" s="13"/>
      <c r="E59" s="13"/>
      <c r="F59" s="13"/>
      <c r="J59" s="40">
        <f>830/2.2+86</f>
        <v>463.27272727272725</v>
      </c>
    </row>
    <row r="60" spans="1:10" s="12" customFormat="1" ht="12" customHeight="1" x14ac:dyDescent="0.25">
      <c r="A60" s="42" t="s">
        <v>15</v>
      </c>
      <c r="B60" s="2">
        <f>(18.5+5.25)*-1</f>
        <v>-23.75</v>
      </c>
      <c r="C60" s="2">
        <v>75</v>
      </c>
      <c r="D60" s="13"/>
      <c r="E60" s="13"/>
      <c r="F60" s="13"/>
      <c r="J60" s="40">
        <v>31</v>
      </c>
    </row>
    <row r="61" spans="1:10" s="12" customFormat="1" ht="12" customHeight="1" x14ac:dyDescent="0.25">
      <c r="A61" s="43" t="s">
        <v>13</v>
      </c>
      <c r="B61" s="2">
        <v>-17.3</v>
      </c>
      <c r="C61" s="2">
        <v>75</v>
      </c>
      <c r="D61" s="13"/>
      <c r="E61" s="13"/>
      <c r="F61" s="13"/>
      <c r="J61" s="40">
        <v>26.6</v>
      </c>
    </row>
    <row r="62" spans="1:10" s="11" customFormat="1" x14ac:dyDescent="0.25">
      <c r="A62" s="42" t="s">
        <v>14</v>
      </c>
      <c r="B62" s="2">
        <v>-17.3</v>
      </c>
      <c r="C62" s="2">
        <v>75</v>
      </c>
      <c r="D62" s="13"/>
      <c r="J62" s="40">
        <v>26.6</v>
      </c>
    </row>
    <row r="63" spans="1:10" s="11" customFormat="1" x14ac:dyDescent="0.25">
      <c r="A63" s="43" t="s">
        <v>12</v>
      </c>
      <c r="B63" s="2">
        <v>-18.3</v>
      </c>
      <c r="C63" s="2">
        <v>50</v>
      </c>
      <c r="D63" s="12"/>
      <c r="J63" s="40">
        <f>13.6+12.2</f>
        <v>25.799999999999997</v>
      </c>
    </row>
    <row r="64" spans="1:10" s="11" customFormat="1" x14ac:dyDescent="0.25">
      <c r="A64" s="39" t="s">
        <v>10</v>
      </c>
      <c r="B64" s="2">
        <v>-22</v>
      </c>
      <c r="C64" s="2">
        <v>83</v>
      </c>
      <c r="J64" s="40">
        <v>30</v>
      </c>
    </row>
    <row r="65" spans="1:10" s="12" customFormat="1" x14ac:dyDescent="0.25">
      <c r="A65" s="42" t="s">
        <v>6</v>
      </c>
      <c r="B65" s="2">
        <v>-1.8</v>
      </c>
      <c r="C65" s="2">
        <v>50</v>
      </c>
      <c r="J65" s="40">
        <v>8</v>
      </c>
    </row>
    <row r="66" spans="1:10" s="12" customFormat="1" ht="12" customHeight="1" x14ac:dyDescent="0.25">
      <c r="A66" s="43" t="s">
        <v>46</v>
      </c>
      <c r="B66" s="2">
        <f>(2.3 +(7.84-1)/7.84*11.4)*-1</f>
        <v>-12.245918367346938</v>
      </c>
      <c r="C66" s="2">
        <v>114.99999999999999</v>
      </c>
      <c r="D66" s="13"/>
      <c r="E66" s="13"/>
      <c r="F66" s="13"/>
      <c r="J66" s="40">
        <f>7.3+11.4</f>
        <v>18.7</v>
      </c>
    </row>
    <row r="67" spans="1:10" s="12" customFormat="1" x14ac:dyDescent="0.25">
      <c r="A67" s="42" t="s">
        <v>65</v>
      </c>
      <c r="B67" s="2">
        <v>-2.8</v>
      </c>
      <c r="C67" s="2">
        <v>0</v>
      </c>
      <c r="D67" s="13"/>
      <c r="J67" s="40">
        <v>3.8</v>
      </c>
    </row>
    <row r="68" spans="1:10" s="11" customFormat="1" x14ac:dyDescent="0.25">
      <c r="A68" s="42" t="s">
        <v>47</v>
      </c>
      <c r="B68" s="2">
        <f>((7.84-1)/7.84*10.4+4)*-1</f>
        <v>-13.073469387755102</v>
      </c>
      <c r="C68" s="2">
        <v>100</v>
      </c>
      <c r="J68" s="40">
        <f>21.5/2.2+6</f>
        <v>15.772727272727272</v>
      </c>
    </row>
    <row r="69" spans="1:10" s="12" customFormat="1" x14ac:dyDescent="0.25">
      <c r="A69" s="42" t="s">
        <v>21</v>
      </c>
      <c r="B69" s="2">
        <v>0</v>
      </c>
      <c r="C69" s="2">
        <v>0</v>
      </c>
      <c r="J69" s="40"/>
    </row>
    <row r="70" spans="1:10" s="11" customFormat="1" x14ac:dyDescent="0.25">
      <c r="A70" s="42" t="s">
        <v>40</v>
      </c>
      <c r="B70" s="2">
        <v>-50</v>
      </c>
      <c r="C70" s="2">
        <v>210</v>
      </c>
      <c r="J70" s="40">
        <v>56</v>
      </c>
    </row>
    <row r="71" spans="1:10" s="11" customFormat="1" x14ac:dyDescent="0.25">
      <c r="A71" s="42" t="s">
        <v>52</v>
      </c>
      <c r="B71" s="2">
        <f>(50+20-(600/2.2))*-1</f>
        <v>202.72727272727269</v>
      </c>
      <c r="C71" s="2">
        <v>210</v>
      </c>
      <c r="J71" s="40">
        <v>56</v>
      </c>
    </row>
    <row r="72" spans="1:10" s="12" customFormat="1" x14ac:dyDescent="0.25">
      <c r="A72" s="42" t="s">
        <v>53</v>
      </c>
      <c r="B72" s="2">
        <v>-50</v>
      </c>
      <c r="C72" s="2">
        <v>210</v>
      </c>
      <c r="D72" s="13"/>
      <c r="E72" s="13"/>
      <c r="F72" s="13"/>
      <c r="J72" s="40">
        <v>56</v>
      </c>
    </row>
    <row r="73" spans="1:10" s="11" customFormat="1" x14ac:dyDescent="0.25">
      <c r="A73" s="42" t="s">
        <v>41</v>
      </c>
      <c r="B73" s="2">
        <f>(11.78+4.5-4*21)*-1</f>
        <v>67.72</v>
      </c>
      <c r="C73" s="2">
        <v>128.5</v>
      </c>
      <c r="D73" s="14"/>
      <c r="E73" s="13"/>
      <c r="F73" s="14"/>
      <c r="J73" s="40">
        <f>13+13.5+4*2.7</f>
        <v>37.299999999999997</v>
      </c>
    </row>
    <row r="74" spans="1:10" s="12" customFormat="1" x14ac:dyDescent="0.25">
      <c r="A74" s="42" t="s">
        <v>45</v>
      </c>
      <c r="B74" s="2">
        <f>(11.78+4.5-8*21)*-1</f>
        <v>151.72</v>
      </c>
      <c r="C74" s="2">
        <v>128.5</v>
      </c>
      <c r="J74" s="40">
        <f>13+13.5+4*2.7</f>
        <v>37.299999999999997</v>
      </c>
    </row>
    <row r="75" spans="1:10" s="11" customFormat="1" x14ac:dyDescent="0.25">
      <c r="A75" s="42" t="s">
        <v>67</v>
      </c>
      <c r="B75" s="2">
        <f>(11.78+4.5)*-1</f>
        <v>-16.28</v>
      </c>
      <c r="C75" s="2">
        <v>128.5</v>
      </c>
      <c r="D75" s="14"/>
      <c r="E75" s="13"/>
      <c r="F75" s="14"/>
      <c r="J75" s="40">
        <f>13+13.5</f>
        <v>26.5</v>
      </c>
    </row>
    <row r="76" spans="1:10" s="11" customFormat="1" x14ac:dyDescent="0.25">
      <c r="A76" s="42" t="s">
        <v>76</v>
      </c>
      <c r="B76" s="2">
        <f>(11.78)*-1</f>
        <v>-11.78</v>
      </c>
      <c r="C76" s="2">
        <v>129</v>
      </c>
      <c r="D76" s="14">
        <v>20</v>
      </c>
      <c r="E76" s="13">
        <v>0</v>
      </c>
      <c r="F76" s="14">
        <v>1.3</v>
      </c>
      <c r="G76" s="11">
        <v>1</v>
      </c>
      <c r="J76" s="40">
        <f>13+13.5</f>
        <v>26.5</v>
      </c>
    </row>
    <row r="77" spans="1:10" x14ac:dyDescent="0.25">
      <c r="D77" s="2"/>
    </row>
    <row r="78" spans="1:10" x14ac:dyDescent="0.25">
      <c r="D78" s="2"/>
    </row>
    <row r="79" spans="1:10" x14ac:dyDescent="0.25">
      <c r="D79" s="2"/>
    </row>
    <row r="80" spans="1:10" x14ac:dyDescent="0.25">
      <c r="D80" s="2"/>
    </row>
    <row r="81" spans="1:10" x14ac:dyDescent="0.25">
      <c r="D81" s="2"/>
    </row>
    <row r="82" spans="1:10" ht="13.8" thickBot="1" x14ac:dyDescent="0.3">
      <c r="D82" s="2"/>
    </row>
    <row r="83" spans="1:10" ht="13.8" thickBot="1" x14ac:dyDescent="0.3">
      <c r="A83" s="38" t="s">
        <v>37</v>
      </c>
      <c r="D83" s="2"/>
    </row>
    <row r="84" spans="1:10" s="49" customFormat="1" ht="13.8" thickTop="1" x14ac:dyDescent="0.25">
      <c r="A84" s="33" t="s">
        <v>70</v>
      </c>
      <c r="B84" s="2">
        <f>((1.2-1)/1.2*J84)*-1</f>
        <v>-8.6666666666666643</v>
      </c>
      <c r="C84" s="2">
        <v>1000</v>
      </c>
      <c r="J84" s="34">
        <f>5.2*C84/100</f>
        <v>52</v>
      </c>
    </row>
    <row r="85" spans="1:10" s="9" customFormat="1" x14ac:dyDescent="0.25">
      <c r="A85" s="35" t="s">
        <v>83</v>
      </c>
      <c r="B85" s="2">
        <f>((0.98-1.027)/0.98*J85)*-1</f>
        <v>1.0886734693877536</v>
      </c>
      <c r="C85" s="2">
        <v>1000</v>
      </c>
      <c r="J85" s="34">
        <f>2.27/100*C85</f>
        <v>22.700000000000003</v>
      </c>
    </row>
    <row r="86" spans="1:10" s="9" customFormat="1" x14ac:dyDescent="0.25">
      <c r="A86" s="33" t="s">
        <v>29</v>
      </c>
      <c r="B86" s="2">
        <f>((1.4-1)/1.39*J86)*-1</f>
        <v>-9.4964028776978395</v>
      </c>
      <c r="C86" s="2">
        <v>1000</v>
      </c>
      <c r="J86" s="34">
        <f>0.033*C86</f>
        <v>33</v>
      </c>
    </row>
    <row r="87" spans="1:10" s="9" customFormat="1" x14ac:dyDescent="0.25">
      <c r="A87" s="33" t="s">
        <v>82</v>
      </c>
      <c r="B87" s="2">
        <f>(0.875*J87)*-1</f>
        <v>-24879.399999999998</v>
      </c>
      <c r="C87" s="2">
        <v>1000</v>
      </c>
      <c r="J87" s="34">
        <f>780/90*3.2808*C87</f>
        <v>28433.599999999999</v>
      </c>
    </row>
    <row r="88" spans="1:10" s="10" customFormat="1" x14ac:dyDescent="0.25">
      <c r="A88" s="33" t="s">
        <v>16</v>
      </c>
      <c r="B88" s="2">
        <f>(0.875*J88)*-1</f>
        <v>-201.09503050000001</v>
      </c>
      <c r="C88" s="2">
        <v>1000</v>
      </c>
      <c r="J88" s="34">
        <f>(0.153*3.2808/2.2*(C88+1))+1.43</f>
        <v>229.822892</v>
      </c>
    </row>
    <row r="89" spans="1:10" s="9" customFormat="1" x14ac:dyDescent="0.25">
      <c r="A89" s="35" t="s">
        <v>17</v>
      </c>
      <c r="B89" s="2">
        <f>(0.875*J89)*-1</f>
        <v>-131.40187444999998</v>
      </c>
      <c r="C89" s="2">
        <v>1000</v>
      </c>
      <c r="J89" s="34">
        <f>(0.0997*3.2808/2.2*(C89+1))+1.345</f>
        <v>150.17357079999999</v>
      </c>
    </row>
    <row r="90" spans="1:10" s="9" customFormat="1" x14ac:dyDescent="0.25">
      <c r="A90" s="35" t="s">
        <v>49</v>
      </c>
      <c r="B90" s="2">
        <f>((0.91-1.027)/0.91*J90)*-1</f>
        <v>2.3142857142857121E-2</v>
      </c>
      <c r="C90" s="2">
        <v>1000</v>
      </c>
      <c r="J90" s="34">
        <v>0.18</v>
      </c>
    </row>
    <row r="91" spans="1:10" s="9" customFormat="1" x14ac:dyDescent="0.25">
      <c r="A91" s="35" t="s">
        <v>79</v>
      </c>
      <c r="B91" s="2">
        <f>((0.94-1.027)/0.94*J91)*-1</f>
        <v>32.115957446808501</v>
      </c>
      <c r="C91" s="2">
        <v>1000</v>
      </c>
      <c r="J91" s="34">
        <f>0.347*C91</f>
        <v>347</v>
      </c>
    </row>
    <row r="92" spans="1:10" s="9" customFormat="1" x14ac:dyDescent="0.25">
      <c r="A92" s="35" t="s">
        <v>80</v>
      </c>
      <c r="B92" s="2">
        <f>((1.14-1.027)/1.14*J92)*-1</f>
        <v>-38.757017543859654</v>
      </c>
      <c r="C92" s="2">
        <v>1000</v>
      </c>
      <c r="J92" s="34">
        <f>0.391*C92</f>
        <v>391</v>
      </c>
    </row>
    <row r="93" spans="1:10" s="9" customFormat="1" x14ac:dyDescent="0.25">
      <c r="A93" s="35" t="s">
        <v>81</v>
      </c>
      <c r="B93" s="2">
        <f>((1.14-1.027)/1.14*J93)*-1</f>
        <v>-33.305263157894736</v>
      </c>
      <c r="C93" s="2">
        <v>1000</v>
      </c>
      <c r="J93" s="34">
        <f>0.336*C93</f>
        <v>336</v>
      </c>
    </row>
    <row r="94" spans="1:10" s="9" customFormat="1" x14ac:dyDescent="0.25">
      <c r="A94" s="35" t="s">
        <v>57</v>
      </c>
      <c r="B94" s="2">
        <f>((0.91-1.027)/0.91*J94)*-1</f>
        <v>36.64285714285711</v>
      </c>
      <c r="C94" s="2">
        <v>1000</v>
      </c>
      <c r="J94" s="34">
        <f>0.285*C94</f>
        <v>285</v>
      </c>
    </row>
    <row r="95" spans="1:10" s="9" customFormat="1" x14ac:dyDescent="0.25">
      <c r="A95" s="35" t="s">
        <v>30</v>
      </c>
      <c r="B95" s="2">
        <f>((1.14-1)/1.14*J95)*-1</f>
        <v>-27.385964912280684</v>
      </c>
      <c r="C95" s="2">
        <v>1000</v>
      </c>
      <c r="J95" s="34">
        <f>0.223*C95</f>
        <v>223</v>
      </c>
    </row>
    <row r="96" spans="1:10" s="9" customFormat="1" x14ac:dyDescent="0.25">
      <c r="A96" s="35" t="s">
        <v>31</v>
      </c>
      <c r="B96" s="2">
        <f>((0.98-1.027)/0.98*J96)*-1</f>
        <v>1.1510204081632636</v>
      </c>
      <c r="C96" s="2">
        <v>1000</v>
      </c>
      <c r="J96" s="34">
        <f>0.024*C96</f>
        <v>24</v>
      </c>
    </row>
    <row r="97" spans="1:10" s="9" customFormat="1" x14ac:dyDescent="0.25">
      <c r="A97" s="35" t="s">
        <v>83</v>
      </c>
      <c r="B97" s="2">
        <f>((0.98-1.027)/0.98*J97)*-1</f>
        <v>1.1030612244897944</v>
      </c>
      <c r="C97" s="2">
        <v>1000</v>
      </c>
      <c r="J97" s="34">
        <f>0.023*C97</f>
        <v>23</v>
      </c>
    </row>
    <row r="98" spans="1:10" s="9" customFormat="1" x14ac:dyDescent="0.25">
      <c r="A98" s="35" t="s">
        <v>86</v>
      </c>
      <c r="B98" s="2">
        <f>((1.38-1.027)/1.38*J98)*-1</f>
        <v>-7.9297101449275367</v>
      </c>
      <c r="C98" s="2">
        <v>1000</v>
      </c>
      <c r="J98" s="34">
        <f>0.031*C98</f>
        <v>31</v>
      </c>
    </row>
    <row r="99" spans="1:10" s="9" customFormat="1" x14ac:dyDescent="0.25">
      <c r="A99" s="35" t="s">
        <v>58</v>
      </c>
      <c r="B99" s="2">
        <f>((1.38-1.027)/1.38*J99)*-1</f>
        <v>-12.278260869565218</v>
      </c>
      <c r="C99" s="2">
        <v>1000</v>
      </c>
      <c r="J99" s="34">
        <f>0.048*C99</f>
        <v>48</v>
      </c>
    </row>
    <row r="100" spans="1:10" s="9" customFormat="1" x14ac:dyDescent="0.25">
      <c r="A100" s="35" t="s">
        <v>56</v>
      </c>
      <c r="B100" s="2">
        <f>((1.38-1.027)/1.38*J100)*-1</f>
        <v>-15.859420289855073</v>
      </c>
      <c r="C100" s="2">
        <v>1000</v>
      </c>
      <c r="J100" s="34">
        <f>0.062*C100</f>
        <v>62</v>
      </c>
    </row>
    <row r="101" spans="1:10" s="9" customFormat="1" x14ac:dyDescent="0.25">
      <c r="A101" s="35" t="s">
        <v>33</v>
      </c>
      <c r="B101" s="2">
        <f>((1.38-1.027)/1.38*J101)*-1</f>
        <v>-31.207246376811593</v>
      </c>
      <c r="C101" s="2">
        <v>1000</v>
      </c>
      <c r="J101" s="34">
        <f>0.122*C101</f>
        <v>122</v>
      </c>
    </row>
    <row r="102" spans="1:10" s="9" customFormat="1" ht="13.8" thickBot="1" x14ac:dyDescent="0.3">
      <c r="A102" s="36" t="s">
        <v>34</v>
      </c>
      <c r="B102" s="2">
        <f>((1.38-1.027)/1.38*J102)*-1</f>
        <v>-45.787681159420288</v>
      </c>
      <c r="C102" s="2">
        <v>1000</v>
      </c>
      <c r="J102" s="37">
        <f>0.179*C102</f>
        <v>179</v>
      </c>
    </row>
    <row r="103" spans="1:10" s="9" customFormat="1" x14ac:dyDescent="0.25">
      <c r="A103" s="30"/>
      <c r="B103" s="32"/>
      <c r="C103" s="30"/>
      <c r="D103" s="30"/>
      <c r="E103" s="30"/>
      <c r="I103" s="31"/>
    </row>
    <row r="104" spans="1:10" s="9" customFormat="1" x14ac:dyDescent="0.25"/>
  </sheetData>
  <sortState xmlns:xlrd2="http://schemas.microsoft.com/office/spreadsheetml/2017/richdata2" ref="A35:B66">
    <sortCondition ref="A35"/>
  </sortState>
  <phoneticPr fontId="2" type="noConversion"/>
  <pageMargins left="0.75" right="0.75" top="1" bottom="1" header="0.5" footer="0.5"/>
  <pageSetup paperSize="5" scale="7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speard</dc:creator>
  <cp:lastModifiedBy>Mackay, Paul</cp:lastModifiedBy>
  <cp:lastPrinted>2017-06-16T15:43:32Z</cp:lastPrinted>
  <dcterms:created xsi:type="dcterms:W3CDTF">2001-06-13T18:06:08Z</dcterms:created>
  <dcterms:modified xsi:type="dcterms:W3CDTF">2023-03-17T00:28:26Z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2021-03-10T17:49:07Z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f1d51130-ccc0-459c-9b5d-00008723c654</vt:lpwstr>
  </property>
</Properties>
</file>