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ard\Documents\Moorings\"/>
    </mc:Choice>
  </mc:AlternateContent>
  <xr:revisionPtr revIDLastSave="0" documentId="8_{B735E235-939E-4BDD-8B04-35D481B7EBA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G47" i="1" s="1"/>
  <c r="C47" i="1"/>
  <c r="B54" i="1" l="1"/>
  <c r="B55" i="1"/>
  <c r="B98" i="1"/>
  <c r="C98" i="1" s="1"/>
  <c r="B85" i="1" l="1"/>
  <c r="E52" i="1"/>
  <c r="G52" i="1" s="1"/>
  <c r="C52" i="1"/>
  <c r="B52" i="1"/>
  <c r="F52" i="1" l="1"/>
  <c r="B97" i="1"/>
  <c r="C97" i="1" s="1"/>
  <c r="B96" i="1"/>
  <c r="B87" i="1" l="1"/>
  <c r="C87" i="1" s="1"/>
  <c r="B93" i="1"/>
  <c r="C93" i="1" s="1"/>
  <c r="B91" i="1" l="1"/>
  <c r="C91" i="1" s="1"/>
  <c r="B92" i="1"/>
  <c r="C92" i="1" s="1"/>
  <c r="E39" i="1" l="1"/>
  <c r="G39" i="1" s="1"/>
  <c r="C39" i="1"/>
  <c r="B39" i="1"/>
  <c r="C76" i="1" l="1"/>
  <c r="E76" i="1"/>
  <c r="G76" i="1" s="1"/>
  <c r="B76" i="1"/>
  <c r="E50" i="1" l="1"/>
  <c r="C50" i="1"/>
  <c r="E84" i="1"/>
  <c r="E70" i="1"/>
  <c r="F30" i="1"/>
  <c r="B32" i="1"/>
  <c r="C32" i="1"/>
  <c r="B36" i="1"/>
  <c r="C36" i="1"/>
  <c r="E36" i="1"/>
  <c r="G36" i="1" s="1"/>
  <c r="B37" i="1"/>
  <c r="C37" i="1"/>
  <c r="E37" i="1"/>
  <c r="G37" i="1" s="1"/>
  <c r="E71" i="1"/>
  <c r="G71" i="1" s="1"/>
  <c r="E72" i="1"/>
  <c r="G72" i="1" s="1"/>
  <c r="E73" i="1"/>
  <c r="G73" i="1" s="1"/>
  <c r="E74" i="1"/>
  <c r="G74" i="1" s="1"/>
  <c r="E75" i="1"/>
  <c r="G75" i="1" s="1"/>
  <c r="E59" i="1"/>
  <c r="G59" i="1" s="1"/>
  <c r="E58" i="1"/>
  <c r="G58" i="1" s="1"/>
  <c r="E55" i="1"/>
  <c r="G55" i="1" s="1"/>
  <c r="E53" i="1"/>
  <c r="G53" i="1" s="1"/>
  <c r="E54" i="1"/>
  <c r="G54" i="1" s="1"/>
  <c r="E56" i="1"/>
  <c r="G56" i="1" s="1"/>
  <c r="E57" i="1"/>
  <c r="G57" i="1" s="1"/>
  <c r="E51" i="1"/>
  <c r="G51" i="1" s="1"/>
  <c r="E49" i="1"/>
  <c r="G49" i="1" s="1"/>
  <c r="E48" i="1"/>
  <c r="G48" i="1" s="1"/>
  <c r="B57" i="1"/>
  <c r="B56" i="1"/>
  <c r="C57" i="1"/>
  <c r="C56" i="1"/>
  <c r="B53" i="1"/>
  <c r="C53" i="1"/>
  <c r="C51" i="1"/>
  <c r="B51" i="1"/>
  <c r="B84" i="1"/>
  <c r="C84" i="1" s="1"/>
  <c r="C58" i="1"/>
  <c r="B58" i="1"/>
  <c r="E38" i="1"/>
  <c r="G38" i="1" s="1"/>
  <c r="B75" i="1"/>
  <c r="C75" i="1"/>
  <c r="E44" i="1"/>
  <c r="G44" i="1" s="1"/>
  <c r="C44" i="1"/>
  <c r="B44" i="1"/>
  <c r="E40" i="1"/>
  <c r="G40" i="1" s="1"/>
  <c r="E41" i="1"/>
  <c r="G41" i="1" s="1"/>
  <c r="E43" i="1"/>
  <c r="G43" i="1" s="1"/>
  <c r="E45" i="1"/>
  <c r="G45" i="1" s="1"/>
  <c r="E46" i="1"/>
  <c r="G46" i="1" s="1"/>
  <c r="E42" i="1"/>
  <c r="G42" i="1" s="1"/>
  <c r="E67" i="1"/>
  <c r="G67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8" i="1"/>
  <c r="G68" i="1" s="1"/>
  <c r="E69" i="1"/>
  <c r="G69" i="1" s="1"/>
  <c r="G70" i="1"/>
  <c r="C48" i="1"/>
  <c r="C49" i="1"/>
  <c r="C55" i="1"/>
  <c r="C18" i="1"/>
  <c r="B99" i="1"/>
  <c r="C99" i="1"/>
  <c r="B94" i="1"/>
  <c r="C94" i="1"/>
  <c r="B102" i="1"/>
  <c r="C102" i="1" s="1"/>
  <c r="B101" i="1"/>
  <c r="C101" i="1" s="1"/>
  <c r="B100" i="1"/>
  <c r="C100" i="1" s="1"/>
  <c r="B12" i="1"/>
  <c r="C12" i="1"/>
  <c r="B38" i="1"/>
  <c r="C38" i="1"/>
  <c r="C54" i="1"/>
  <c r="C43" i="1"/>
  <c r="B6" i="1"/>
  <c r="C6" i="1"/>
  <c r="B43" i="1"/>
  <c r="C71" i="1"/>
  <c r="C14" i="1"/>
  <c r="C60" i="1"/>
  <c r="C73" i="1"/>
  <c r="C74" i="1"/>
  <c r="C68" i="1"/>
  <c r="C66" i="1"/>
  <c r="C59" i="1"/>
  <c r="B86" i="1"/>
  <c r="C86" i="1" s="1"/>
  <c r="B88" i="1"/>
  <c r="C88" i="1"/>
  <c r="B89" i="1"/>
  <c r="C89" i="1" s="1"/>
  <c r="C90" i="1"/>
  <c r="B95" i="1"/>
  <c r="C95" i="1" s="1"/>
  <c r="C96" i="1"/>
  <c r="C85" i="1"/>
  <c r="B66" i="1"/>
  <c r="B74" i="1"/>
  <c r="B73" i="1"/>
  <c r="B16" i="1"/>
  <c r="C16" i="1" s="1"/>
  <c r="B15" i="1"/>
  <c r="C15" i="1" s="1"/>
  <c r="B59" i="1"/>
  <c r="B68" i="1"/>
  <c r="B8" i="1"/>
  <c r="C8" i="1" s="1"/>
  <c r="C17" i="1"/>
  <c r="B5" i="1"/>
  <c r="C5" i="1" s="1"/>
  <c r="B7" i="1"/>
  <c r="C7" i="1" s="1"/>
  <c r="B9" i="1"/>
  <c r="C9" i="1" s="1"/>
  <c r="B10" i="1"/>
  <c r="C10" i="1" s="1"/>
  <c r="B11" i="1"/>
  <c r="C11" i="1" s="1"/>
  <c r="B13" i="1"/>
  <c r="C13" i="1" s="1"/>
  <c r="B63" i="1"/>
  <c r="G25" i="1" l="1"/>
  <c r="F51" i="1"/>
  <c r="G32" i="1"/>
  <c r="F38" i="1"/>
  <c r="F49" i="1"/>
  <c r="F48" i="1"/>
  <c r="F54" i="1"/>
  <c r="F73" i="1"/>
  <c r="F70" i="1"/>
  <c r="F75" i="1"/>
  <c r="F71" i="1"/>
  <c r="G30" i="1"/>
  <c r="G27" i="1"/>
  <c r="F37" i="1"/>
  <c r="F55" i="1"/>
  <c r="G26" i="1"/>
  <c r="F74" i="1"/>
  <c r="G23" i="1"/>
  <c r="F53" i="1"/>
  <c r="F72" i="1"/>
  <c r="G31" i="1"/>
  <c r="F39" i="1"/>
  <c r="F76" i="1"/>
  <c r="G24" i="1"/>
  <c r="G29" i="1"/>
</calcChain>
</file>

<file path=xl/sharedStrings.xml><?xml version="1.0" encoding="utf-8"?>
<sst xmlns="http://schemas.openxmlformats.org/spreadsheetml/2006/main" count="101" uniqueCount="97">
  <si>
    <t>1/2" Shackle</t>
  </si>
  <si>
    <t>7/8" Shackle</t>
  </si>
  <si>
    <t>1" Shackle</t>
  </si>
  <si>
    <t xml:space="preserve">Weight </t>
  </si>
  <si>
    <t xml:space="preserve">Wet Weight </t>
  </si>
  <si>
    <t xml:space="preserve">Length </t>
  </si>
  <si>
    <t xml:space="preserve">Net Weight </t>
  </si>
  <si>
    <t>(kg)</t>
  </si>
  <si>
    <t>(m)</t>
  </si>
  <si>
    <t>below float (kg)</t>
  </si>
  <si>
    <t>Pinger</t>
  </si>
  <si>
    <t>S4</t>
  </si>
  <si>
    <t>5/8" Shackle</t>
  </si>
  <si>
    <t>3/4" Shackle</t>
  </si>
  <si>
    <t>SS30 (WHH)</t>
  </si>
  <si>
    <t>RT661 B2S</t>
  </si>
  <si>
    <t>SS-28</t>
  </si>
  <si>
    <t>RCM7</t>
  </si>
  <si>
    <t>RCM4</t>
  </si>
  <si>
    <t>RCM5</t>
  </si>
  <si>
    <t>RCM11</t>
  </si>
  <si>
    <t>5/16" Amgal</t>
  </si>
  <si>
    <t>1/4" Amgal</t>
  </si>
  <si>
    <t>IO 1090</t>
  </si>
  <si>
    <t>SG-17</t>
  </si>
  <si>
    <t>Interocean 34</t>
  </si>
  <si>
    <t>Vemco</t>
  </si>
  <si>
    <t>7/16" Shackle</t>
  </si>
  <si>
    <t>1/2" Sling Link</t>
  </si>
  <si>
    <t>5/8" Sling Link</t>
  </si>
  <si>
    <t>3/4" Sling Link</t>
  </si>
  <si>
    <t>Baker Trap</t>
  </si>
  <si>
    <t>SS-37</t>
  </si>
  <si>
    <t>SS-41</t>
  </si>
  <si>
    <t>1/4" Kevlar</t>
  </si>
  <si>
    <t>3/4" Nylon</t>
  </si>
  <si>
    <t>1/4" Amsteel</t>
  </si>
  <si>
    <t>WB-17</t>
  </si>
  <si>
    <t>1/2" Polyester</t>
  </si>
  <si>
    <t>5/8" Polyester</t>
  </si>
  <si>
    <t>AR191</t>
  </si>
  <si>
    <t>Instruments</t>
  </si>
  <si>
    <t>Mooring Lines</t>
  </si>
  <si>
    <t>Flotation</t>
  </si>
  <si>
    <t>Hardware</t>
  </si>
  <si>
    <t>WH150</t>
  </si>
  <si>
    <t>WH300 w 4 Vinies</t>
  </si>
  <si>
    <t>AR861 B2S</t>
  </si>
  <si>
    <t>nortek sbe37 frame</t>
  </si>
  <si>
    <t>New Workhorse Frame</t>
  </si>
  <si>
    <t>WH300 w 8 Vinies</t>
  </si>
  <si>
    <t>SBE19+ with frame</t>
  </si>
  <si>
    <t>SBE37-SMP with frame</t>
  </si>
  <si>
    <t>Inst. Depth</t>
  </si>
  <si>
    <t>Double Baker Trap</t>
  </si>
  <si>
    <t>3/4" Poly</t>
  </si>
  <si>
    <t>Viny on 1 m of 5/16 wire</t>
  </si>
  <si>
    <t>7/8" Sling Link</t>
  </si>
  <si>
    <t>WH150 w 1000 m float</t>
  </si>
  <si>
    <t>WH300 w 1000 m float</t>
  </si>
  <si>
    <t>Argonaut MD in Frame</t>
  </si>
  <si>
    <t>ADP in Frame</t>
  </si>
  <si>
    <t>3/8" Tenex</t>
  </si>
  <si>
    <t>1" Polysteel</t>
  </si>
  <si>
    <t>5/16" Tenex</t>
  </si>
  <si>
    <t>Miller B212</t>
  </si>
  <si>
    <t>Miller C212</t>
  </si>
  <si>
    <t>Inst. Height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</si>
  <si>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</si>
  <si>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</si>
  <si>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Aquadopp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</si>
  <si>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+Microcat</t>
    </r>
  </si>
  <si>
    <t>SBE37</t>
  </si>
  <si>
    <t>Aural + Frame</t>
  </si>
  <si>
    <t>WH300 in Frame</t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</si>
  <si>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</si>
  <si>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</si>
  <si>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5/16" Amsteel II+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</si>
  <si>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</si>
  <si>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t>SB30</t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</si>
  <si>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</si>
  <si>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LR75+SBE37 ODO</t>
    </r>
  </si>
  <si>
    <t>FloTech(old)+Workhorse</t>
  </si>
  <si>
    <t>SM2M+ in Frame</t>
  </si>
  <si>
    <t>HMB-31-0750</t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</si>
  <si>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</si>
  <si>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1" RP12 UB</t>
  </si>
  <si>
    <t>1" RP12 Nylon</t>
  </si>
  <si>
    <t>7/8" RP12 Nylon</t>
  </si>
  <si>
    <t>1" Buoy Chain</t>
  </si>
  <si>
    <t>5 mm Dynice Dux</t>
  </si>
  <si>
    <t>WH600↑ in AF47E +SBE37</t>
  </si>
  <si>
    <r>
      <t>WH300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in AF36+SBE37 ODO</t>
    </r>
  </si>
  <si>
    <t>1/4" Tenex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</si>
  <si>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</si>
  <si>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</si>
  <si>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Triple Baker w 3 Vinies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</si>
</sst>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_ ;[Red]\-0.00\ "/>
  </numFmts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0" borderId="0"/>
    <xf numFmtId="0" fontId="12" fillId="4" borderId="22" applyNumberFormat="0" applyAlignment="0" applyProtection="0"/>
  </cellStyleXfs>
  <cellXfs count="94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right"/>
    </xf>
    <xf numFmtId="2" fontId="1" fillId="0" borderId="0" xfId="0" applyNumberFormat="1" applyFont="1"/>
    <xf numFmtId="2" fontId="0" fillId="0" borderId="2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Border="1"/>
    <xf numFmtId="0" fontId="5" fillId="0" borderId="0" xfId="0" applyFont="1" applyBorder="1"/>
    <xf numFmtId="2" fontId="1" fillId="0" borderId="2" xfId="0" applyNumberFormat="1" applyFont="1" applyBorder="1" applyAlignment="1">
      <alignment horizontal="left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8" xfId="0" applyNumberFormat="1" applyBorder="1"/>
    <xf numFmtId="2" fontId="0" fillId="0" borderId="7" xfId="0" applyNumberFormat="1" applyBorder="1"/>
    <xf numFmtId="2" fontId="1" fillId="0" borderId="7" xfId="0" applyNumberFormat="1" applyFont="1" applyBorder="1" applyAlignment="1">
      <alignment horizontal="left"/>
    </xf>
    <xf numFmtId="2" fontId="0" fillId="0" borderId="9" xfId="0" applyNumberFormat="1" applyBorder="1"/>
    <xf numFmtId="2" fontId="0" fillId="0" borderId="10" xfId="0" applyNumberFormat="1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left"/>
    </xf>
    <xf numFmtId="2" fontId="0" fillId="0" borderId="15" xfId="0" applyNumberFormat="1" applyBorder="1"/>
    <xf numFmtId="2" fontId="0" fillId="0" borderId="16" xfId="0" applyNumberFormat="1" applyBorder="1" applyAlignment="1">
      <alignment horizontal="left"/>
    </xf>
    <xf numFmtId="2" fontId="0" fillId="0" borderId="17" xfId="0" applyNumberFormat="1" applyBorder="1"/>
    <xf numFmtId="2" fontId="1" fillId="0" borderId="18" xfId="0" applyNumberFormat="1" applyFont="1" applyBorder="1" applyAlignment="1">
      <alignment horizontal="left"/>
    </xf>
    <xf numFmtId="2" fontId="1" fillId="0" borderId="19" xfId="0" applyNumberFormat="1" applyFont="1" applyBorder="1"/>
    <xf numFmtId="2" fontId="1" fillId="0" borderId="20" xfId="0" applyNumberFormat="1" applyFont="1" applyBorder="1"/>
    <xf numFmtId="2" fontId="1" fillId="0" borderId="11" xfId="0" applyNumberFormat="1" applyFont="1" applyBorder="1" applyAlignment="1">
      <alignment horizontal="left"/>
    </xf>
    <xf numFmtId="1" fontId="0" fillId="0" borderId="0" xfId="0" applyNumberFormat="1"/>
    <xf numFmtId="2" fontId="3" fillId="0" borderId="0" xfId="0" applyNumberFormat="1" applyFont="1" applyBorder="1"/>
    <xf numFmtId="2" fontId="4" fillId="0" borderId="0" xfId="0" applyNumberFormat="1" applyFont="1" applyBorder="1"/>
    <xf numFmtId="165" fontId="4" fillId="0" borderId="0" xfId="0" applyNumberFormat="1" applyFont="1" applyBorder="1"/>
    <xf numFmtId="2" fontId="1" fillId="0" borderId="3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12" xfId="0" applyNumberFormat="1" applyFont="1" applyBorder="1"/>
    <xf numFmtId="2" fontId="1" fillId="0" borderId="0" xfId="0" applyNumberFormat="1" applyFont="1" applyBorder="1"/>
    <xf numFmtId="2" fontId="1" fillId="0" borderId="15" xfId="0" applyNumberFormat="1" applyFont="1" applyBorder="1"/>
    <xf numFmtId="2" fontId="1" fillId="0" borderId="2" xfId="0" applyNumberFormat="1" applyFont="1" applyBorder="1"/>
    <xf numFmtId="0" fontId="7" fillId="3" borderId="7" xfId="0" applyFont="1" applyFill="1" applyBorder="1" applyAlignment="1">
      <alignment horizontal="left"/>
    </xf>
    <xf numFmtId="2" fontId="8" fillId="3" borderId="1" xfId="0" applyNumberFormat="1" applyFont="1" applyFill="1" applyBorder="1"/>
    <xf numFmtId="2" fontId="7" fillId="3" borderId="1" xfId="0" applyNumberFormat="1" applyFont="1" applyFill="1" applyBorder="1"/>
    <xf numFmtId="2" fontId="7" fillId="3" borderId="8" xfId="0" applyNumberFormat="1" applyFont="1" applyFill="1" applyBorder="1"/>
    <xf numFmtId="2" fontId="7" fillId="3" borderId="7" xfId="0" applyNumberFormat="1" applyFont="1" applyFill="1" applyBorder="1"/>
    <xf numFmtId="164" fontId="8" fillId="3" borderId="1" xfId="0" applyNumberFormat="1" applyFont="1" applyFill="1" applyBorder="1"/>
    <xf numFmtId="165" fontId="8" fillId="3" borderId="1" xfId="0" applyNumberFormat="1" applyFont="1" applyFill="1" applyBorder="1"/>
    <xf numFmtId="2" fontId="7" fillId="3" borderId="11" xfId="0" applyNumberFormat="1" applyFont="1" applyFill="1" applyBorder="1"/>
    <xf numFmtId="2" fontId="8" fillId="3" borderId="12" xfId="0" applyNumberFormat="1" applyFont="1" applyFill="1" applyBorder="1"/>
    <xf numFmtId="165" fontId="8" fillId="3" borderId="12" xfId="0" applyNumberFormat="1" applyFont="1" applyFill="1" applyBorder="1"/>
    <xf numFmtId="2" fontId="7" fillId="3" borderId="12" xfId="0" applyNumberFormat="1" applyFont="1" applyFill="1" applyBorder="1"/>
    <xf numFmtId="2" fontId="7" fillId="3" borderId="13" xfId="0" applyNumberFormat="1" applyFont="1" applyFill="1" applyBorder="1"/>
    <xf numFmtId="2" fontId="7" fillId="3" borderId="18" xfId="0" applyNumberFormat="1" applyFont="1" applyFill="1" applyBorder="1" applyAlignment="1">
      <alignment horizontal="left"/>
    </xf>
    <xf numFmtId="2" fontId="8" fillId="3" borderId="19" xfId="0" applyNumberFormat="1" applyFont="1" applyFill="1" applyBorder="1"/>
    <xf numFmtId="2" fontId="7" fillId="3" borderId="19" xfId="0" applyNumberFormat="1" applyFont="1" applyFill="1" applyBorder="1"/>
    <xf numFmtId="2" fontId="8" fillId="3" borderId="20" xfId="0" applyNumberFormat="1" applyFont="1" applyFill="1" applyBorder="1"/>
    <xf numFmtId="0" fontId="9" fillId="2" borderId="1" xfId="0" applyFont="1" applyFill="1" applyBorder="1"/>
    <xf numFmtId="2" fontId="10" fillId="2" borderId="1" xfId="0" applyNumberFormat="1" applyFont="1" applyFill="1" applyBorder="1"/>
    <xf numFmtId="2" fontId="9" fillId="2" borderId="1" xfId="0" applyNumberFormat="1" applyFont="1" applyFill="1" applyBorder="1"/>
    <xf numFmtId="0" fontId="10" fillId="2" borderId="1" xfId="0" applyFont="1" applyFill="1" applyBorder="1"/>
    <xf numFmtId="2" fontId="9" fillId="2" borderId="1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2" fontId="9" fillId="2" borderId="2" xfId="0" applyNumberFormat="1" applyFont="1" applyFill="1" applyBorder="1" applyAlignment="1">
      <alignment horizontal="left"/>
    </xf>
    <xf numFmtId="2" fontId="10" fillId="2" borderId="2" xfId="0" applyNumberFormat="1" applyFont="1" applyFill="1" applyBorder="1"/>
    <xf numFmtId="2" fontId="9" fillId="2" borderId="2" xfId="0" applyNumberFormat="1" applyFont="1" applyFill="1" applyBorder="1"/>
    <xf numFmtId="0" fontId="9" fillId="2" borderId="21" xfId="0" applyFont="1" applyFill="1" applyBorder="1"/>
    <xf numFmtId="2" fontId="10" fillId="2" borderId="21" xfId="0" applyNumberFormat="1" applyFont="1" applyFill="1" applyBorder="1"/>
    <xf numFmtId="2" fontId="9" fillId="2" borderId="21" xfId="0" applyNumberFormat="1" applyFont="1" applyFill="1" applyBorder="1"/>
    <xf numFmtId="0" fontId="10" fillId="2" borderId="21" xfId="0" applyFont="1" applyFill="1" applyBorder="1"/>
    <xf numFmtId="2" fontId="9" fillId="2" borderId="7" xfId="0" applyNumberFormat="1" applyFont="1" applyFill="1" applyBorder="1" applyAlignment="1">
      <alignment horizontal="left"/>
    </xf>
    <xf numFmtId="165" fontId="10" fillId="2" borderId="8" xfId="0" applyNumberFormat="1" applyFont="1" applyFill="1" applyBorder="1"/>
    <xf numFmtId="0" fontId="14" fillId="0" borderId="0" xfId="0" applyFont="1"/>
    <xf numFmtId="2" fontId="1" fillId="5" borderId="5" xfId="0" applyNumberFormat="1" applyFont="1" applyFill="1" applyBorder="1" applyAlignment="1">
      <alignment horizontal="left"/>
    </xf>
    <xf numFmtId="2" fontId="1" fillId="5" borderId="7" xfId="0" applyNumberFormat="1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2" fontId="13" fillId="3" borderId="1" xfId="2" applyNumberFormat="1" applyFont="1" applyFill="1" applyBorder="1"/>
    <xf numFmtId="0" fontId="9" fillId="2" borderId="7" xfId="0" applyFont="1" applyFill="1" applyBorder="1" applyAlignment="1">
      <alignment wrapText="1"/>
    </xf>
    <xf numFmtId="2" fontId="9" fillId="2" borderId="8" xfId="0" applyNumberFormat="1" applyFont="1" applyFill="1" applyBorder="1"/>
    <xf numFmtId="165" fontId="9" fillId="2" borderId="1" xfId="0" applyNumberFormat="1" applyFont="1" applyFill="1" applyBorder="1"/>
    <xf numFmtId="0" fontId="9" fillId="2" borderId="7" xfId="0" applyFont="1" applyFill="1" applyBorder="1"/>
    <xf numFmtId="166" fontId="9" fillId="2" borderId="1" xfId="0" applyNumberFormat="1" applyFont="1" applyFill="1" applyBorder="1"/>
  </cellXfs>
  <cellStyles count="3">
    <cellStyle name="Calculation" xfId="2" builtinId="22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04"/>
  <sheetViews>
    <sheetView tabSelected="1" topLeftCell="A3" zoomScale="145" zoomScaleNormal="145" workbookViewId="0">
      <pane ySplit="2" topLeftCell="A68" activePane="bottomLeft" state="frozenSplit"/>
      <selection activeCell="A3" sqref="A3"/>
      <selection pane="bottomLeft" activeCell="A47" sqref="A47:XFD47"/>
    </sheetView>
  </sheetViews>
  <sheetFormatPr defaultColWidth="9.15234375" defaultRowHeight="12.45" x14ac:dyDescent="0.3"/>
  <cols>
    <col min="1" max="1" width="27.53515625" style="2" bestFit="1" customWidth="1"/>
    <col min="2" max="2" width="7.4609375" style="2" bestFit="1" customWidth="1"/>
    <col min="3" max="3" width="11.4609375" style="2" bestFit="1" customWidth="1"/>
    <col min="4" max="4" width="7.15234375" style="2" bestFit="1" customWidth="1"/>
    <col min="5" max="5" width="11.15234375" style="2" customWidth="1"/>
    <col min="6" max="6" width="13.4609375" style="5" customWidth="1"/>
    <col min="7" max="7" width="13.4609375" style="2" bestFit="1" customWidth="1"/>
    <col min="8" max="16384" width="9.15234375" style="2"/>
  </cols>
  <sheetData>
    <row r="2" spans="1:7" ht="12.9" thickBot="1" x14ac:dyDescent="0.35">
      <c r="A2" s="40">
        <v>500</v>
      </c>
    </row>
    <row r="3" spans="1:7" x14ac:dyDescent="0.3">
      <c r="A3" s="31" t="s">
        <v>44</v>
      </c>
      <c r="B3" s="17" t="s">
        <v>3</v>
      </c>
      <c r="C3" s="17" t="s">
        <v>4</v>
      </c>
      <c r="D3" s="17" t="s">
        <v>5</v>
      </c>
      <c r="E3" s="17" t="s">
        <v>67</v>
      </c>
      <c r="F3" s="18" t="s">
        <v>6</v>
      </c>
      <c r="G3" s="44" t="s">
        <v>53</v>
      </c>
    </row>
    <row r="4" spans="1:7" ht="13.5" customHeight="1" x14ac:dyDescent="0.3">
      <c r="A4" s="19"/>
      <c r="B4" s="3" t="s">
        <v>7</v>
      </c>
      <c r="C4" s="3" t="s">
        <v>7</v>
      </c>
      <c r="D4" s="3" t="s">
        <v>8</v>
      </c>
      <c r="E4" s="3" t="s">
        <v>8</v>
      </c>
      <c r="F4" s="20" t="s">
        <v>9</v>
      </c>
      <c r="G4" s="45" t="s">
        <v>8</v>
      </c>
    </row>
    <row r="5" spans="1:7" x14ac:dyDescent="0.3">
      <c r="A5" s="21" t="s">
        <v>27</v>
      </c>
      <c r="B5" s="4">
        <f>0.49/2.2</f>
        <v>0.22272727272727272</v>
      </c>
      <c r="C5" s="4">
        <f t="shared" ref="C5:C10" si="0">(7.84-1)/7.84*B5</f>
        <v>0.19431818181818181</v>
      </c>
      <c r="D5" s="4">
        <v>0.04</v>
      </c>
      <c r="E5" s="4"/>
      <c r="F5" s="45"/>
      <c r="G5" s="20"/>
    </row>
    <row r="6" spans="1:7" x14ac:dyDescent="0.3">
      <c r="A6" s="22" t="s">
        <v>0</v>
      </c>
      <c r="B6" s="1">
        <f>0.79/2.2</f>
        <v>0.35909090909090907</v>
      </c>
      <c r="C6" s="1">
        <f t="shared" si="0"/>
        <v>0.31328849721706864</v>
      </c>
      <c r="D6" s="1">
        <v>0.05</v>
      </c>
      <c r="E6" s="1"/>
      <c r="F6" s="46"/>
      <c r="G6" s="23"/>
    </row>
    <row r="7" spans="1:7" x14ac:dyDescent="0.3">
      <c r="A7" s="24" t="s">
        <v>12</v>
      </c>
      <c r="B7" s="1">
        <f>1.68/2.2</f>
        <v>0.76363636363636356</v>
      </c>
      <c r="C7" s="1">
        <f t="shared" si="0"/>
        <v>0.66623376623376618</v>
      </c>
      <c r="D7" s="1">
        <v>0.06</v>
      </c>
      <c r="E7" s="1"/>
      <c r="F7" s="46"/>
      <c r="G7" s="23"/>
    </row>
    <row r="8" spans="1:7" x14ac:dyDescent="0.3">
      <c r="A8" s="24" t="s">
        <v>13</v>
      </c>
      <c r="B8" s="1">
        <f>2.72/2.2</f>
        <v>1.2363636363636363</v>
      </c>
      <c r="C8" s="1">
        <f>(7.84-1)/7.84*B8</f>
        <v>1.0786641929499072</v>
      </c>
      <c r="D8" s="1">
        <v>7.0000000000000007E-2</v>
      </c>
      <c r="E8" s="1"/>
      <c r="F8" s="46"/>
      <c r="G8" s="23"/>
    </row>
    <row r="9" spans="1:7" x14ac:dyDescent="0.3">
      <c r="A9" s="22" t="s">
        <v>1</v>
      </c>
      <c r="B9" s="1">
        <f>3.95/2.2</f>
        <v>1.7954545454545454</v>
      </c>
      <c r="C9" s="1">
        <f t="shared" si="0"/>
        <v>1.5664424860853432</v>
      </c>
      <c r="D9" s="1">
        <v>0.08</v>
      </c>
      <c r="E9" s="1"/>
      <c r="F9" s="46"/>
      <c r="G9" s="23"/>
    </row>
    <row r="10" spans="1:7" x14ac:dyDescent="0.3">
      <c r="A10" s="22" t="s">
        <v>2</v>
      </c>
      <c r="B10" s="1">
        <f>5.66/2.2</f>
        <v>2.5727272727272728</v>
      </c>
      <c r="C10" s="1">
        <f t="shared" si="0"/>
        <v>2.244573283858998</v>
      </c>
      <c r="D10" s="1">
        <v>0.1</v>
      </c>
      <c r="E10" s="1"/>
      <c r="F10" s="46"/>
      <c r="G10" s="23"/>
    </row>
    <row r="11" spans="1:7" x14ac:dyDescent="0.3">
      <c r="A11" s="22" t="s">
        <v>28</v>
      </c>
      <c r="B11" s="1">
        <f>0.55/2.2</f>
        <v>0.25</v>
      </c>
      <c r="C11" s="1">
        <f t="shared" ref="C11:C17" si="1">(7.84-1)/7.84*B11</f>
        <v>0.21811224489795919</v>
      </c>
      <c r="D11" s="1">
        <v>0.08</v>
      </c>
      <c r="E11" s="1"/>
      <c r="F11" s="46"/>
      <c r="G11" s="23"/>
    </row>
    <row r="12" spans="1:7" x14ac:dyDescent="0.3">
      <c r="A12" s="22" t="s">
        <v>29</v>
      </c>
      <c r="B12" s="1">
        <f>1.06/2.2</f>
        <v>0.48181818181818181</v>
      </c>
      <c r="C12" s="1">
        <f t="shared" si="1"/>
        <v>0.42036178107606681</v>
      </c>
      <c r="D12" s="1">
        <v>0.1</v>
      </c>
      <c r="E12" s="1"/>
      <c r="F12" s="46"/>
      <c r="G12" s="23"/>
    </row>
    <row r="13" spans="1:7" x14ac:dyDescent="0.3">
      <c r="A13" s="22" t="s">
        <v>30</v>
      </c>
      <c r="B13" s="1">
        <f>1.88/2.2</f>
        <v>0.85454545454545439</v>
      </c>
      <c r="C13" s="1">
        <f t="shared" si="1"/>
        <v>0.74554730983302397</v>
      </c>
      <c r="D13" s="1">
        <v>0.11</v>
      </c>
      <c r="E13" s="1"/>
      <c r="F13" s="46"/>
      <c r="G13" s="23"/>
    </row>
    <row r="14" spans="1:7" x14ac:dyDescent="0.3">
      <c r="A14" s="22" t="s">
        <v>57</v>
      </c>
      <c r="B14" s="1">
        <v>1.25</v>
      </c>
      <c r="C14" s="1">
        <f>(7.84-1)/7.84*B14</f>
        <v>1.090561224489796</v>
      </c>
      <c r="D14" s="1">
        <v>0.13</v>
      </c>
      <c r="E14" s="1"/>
      <c r="F14" s="46"/>
      <c r="G14" s="23"/>
    </row>
    <row r="15" spans="1:7" x14ac:dyDescent="0.3">
      <c r="A15" s="22" t="s">
        <v>48</v>
      </c>
      <c r="B15" s="1">
        <f>34.5/4</f>
        <v>8.625</v>
      </c>
      <c r="C15" s="1">
        <f t="shared" si="1"/>
        <v>7.5248724489795924</v>
      </c>
      <c r="D15" s="1">
        <v>0.9</v>
      </c>
      <c r="E15" s="1"/>
      <c r="F15" s="46"/>
      <c r="G15" s="23"/>
    </row>
    <row r="16" spans="1:7" x14ac:dyDescent="0.3">
      <c r="A16" s="22" t="s">
        <v>49</v>
      </c>
      <c r="B16" s="1">
        <f>54/4</f>
        <v>13.5</v>
      </c>
      <c r="C16" s="1">
        <f t="shared" si="1"/>
        <v>11.778061224489797</v>
      </c>
      <c r="D16" s="1">
        <v>1.29</v>
      </c>
      <c r="E16" s="1"/>
      <c r="F16" s="46"/>
      <c r="G16" s="23"/>
    </row>
    <row r="17" spans="1:7" x14ac:dyDescent="0.3">
      <c r="A17" s="25" t="s">
        <v>65</v>
      </c>
      <c r="B17" s="1">
        <v>0.76600000000000001</v>
      </c>
      <c r="C17" s="2">
        <f t="shared" si="1"/>
        <v>0.66829591836734692</v>
      </c>
      <c r="D17" s="1">
        <v>0.1</v>
      </c>
      <c r="E17" s="1"/>
      <c r="F17" s="46"/>
      <c r="G17" s="23"/>
    </row>
    <row r="18" spans="1:7" x14ac:dyDescent="0.3">
      <c r="A18" s="25" t="s">
        <v>66</v>
      </c>
      <c r="B18" s="1">
        <v>1.23</v>
      </c>
      <c r="C18" s="1">
        <f>(7.84-1)/7.84*B18</f>
        <v>1.0731122448979591</v>
      </c>
      <c r="D18" s="1">
        <v>0.15</v>
      </c>
      <c r="E18" s="1"/>
      <c r="F18" s="46"/>
      <c r="G18" s="23"/>
    </row>
    <row r="19" spans="1:7" ht="12.9" thickBot="1" x14ac:dyDescent="0.35">
      <c r="A19" s="39" t="s">
        <v>10</v>
      </c>
      <c r="B19" s="29"/>
      <c r="C19" s="29">
        <v>4.0999999999999996</v>
      </c>
      <c r="D19" s="29">
        <v>0.6</v>
      </c>
      <c r="E19" s="29"/>
      <c r="F19" s="47"/>
      <c r="G19" s="30"/>
    </row>
    <row r="20" spans="1:7" x14ac:dyDescent="0.3">
      <c r="A20" s="26"/>
      <c r="B20" s="8"/>
      <c r="C20" s="8"/>
      <c r="D20" s="8"/>
      <c r="E20" s="8"/>
      <c r="F20" s="48"/>
      <c r="G20" s="27"/>
    </row>
    <row r="21" spans="1:7" ht="12.9" thickBot="1" x14ac:dyDescent="0.35">
      <c r="A21" s="34"/>
      <c r="B21" s="33"/>
      <c r="C21" s="33"/>
      <c r="D21" s="33"/>
      <c r="E21" s="33"/>
      <c r="F21" s="49"/>
      <c r="G21" s="35"/>
    </row>
    <row r="22" spans="1:7" s="5" customFormat="1" ht="12.9" thickBot="1" x14ac:dyDescent="0.35">
      <c r="A22" s="36" t="s">
        <v>43</v>
      </c>
      <c r="B22" s="37"/>
      <c r="C22" s="37"/>
      <c r="D22" s="37"/>
      <c r="E22" s="37"/>
      <c r="F22" s="37"/>
      <c r="G22" s="38"/>
    </row>
    <row r="23" spans="1:7" ht="12.9" thickTop="1" x14ac:dyDescent="0.3">
      <c r="A23" s="84" t="s">
        <v>37</v>
      </c>
      <c r="B23" s="6">
        <v>23</v>
      </c>
      <c r="C23" s="6">
        <v>-18</v>
      </c>
      <c r="D23" s="6">
        <v>0.6</v>
      </c>
      <c r="E23" s="6"/>
      <c r="F23" s="50"/>
      <c r="G23" s="28">
        <f>SUM(C24:C88)</f>
        <v>-3675.207410335167</v>
      </c>
    </row>
    <row r="24" spans="1:7" x14ac:dyDescent="0.3">
      <c r="A24" s="85" t="s">
        <v>24</v>
      </c>
      <c r="B24" s="1">
        <v>18</v>
      </c>
      <c r="C24" s="1">
        <v>-23</v>
      </c>
      <c r="D24" s="1">
        <v>0.6</v>
      </c>
      <c r="E24" s="1"/>
      <c r="F24" s="46"/>
      <c r="G24" s="23">
        <f>SUM(C25:C89)</f>
        <v>-3649.5994913851669</v>
      </c>
    </row>
    <row r="25" spans="1:7" customFormat="1" x14ac:dyDescent="0.3">
      <c r="A25" s="86" t="s">
        <v>16</v>
      </c>
      <c r="B25" s="1">
        <v>64</v>
      </c>
      <c r="C25" s="1">
        <v>-133</v>
      </c>
      <c r="D25" s="1">
        <v>1.1100000000000001</v>
      </c>
      <c r="E25" s="1"/>
      <c r="F25" s="46"/>
      <c r="G25" s="23">
        <f>SUM(C26:C94)</f>
        <v>-3516.5895995811888</v>
      </c>
    </row>
    <row r="26" spans="1:7" customFormat="1" x14ac:dyDescent="0.3">
      <c r="A26" s="86" t="s">
        <v>14</v>
      </c>
      <c r="B26" s="1">
        <v>76</v>
      </c>
      <c r="C26" s="1">
        <v>-161</v>
      </c>
      <c r="D26" s="1">
        <v>1.1100000000000001</v>
      </c>
      <c r="E26" s="1"/>
      <c r="F26" s="46"/>
      <c r="G26" s="23">
        <f>SUM(C27:C96)</f>
        <v>-3355.327250136148</v>
      </c>
    </row>
    <row r="27" spans="1:7" customFormat="1" x14ac:dyDescent="0.3">
      <c r="A27" s="86" t="s">
        <v>79</v>
      </c>
      <c r="B27" s="1">
        <v>76</v>
      </c>
      <c r="C27" s="1">
        <v>-166</v>
      </c>
      <c r="D27" s="1">
        <v>0.87</v>
      </c>
      <c r="E27" s="1"/>
      <c r="F27" s="46"/>
      <c r="G27" s="23">
        <f>SUM(C29:C108)</f>
        <v>-3053.2076575599872</v>
      </c>
    </row>
    <row r="28" spans="1:7" x14ac:dyDescent="0.3">
      <c r="A28" s="85" t="s">
        <v>84</v>
      </c>
      <c r="B28" s="1">
        <v>156</v>
      </c>
      <c r="C28" s="1">
        <v>-135</v>
      </c>
      <c r="D28" s="1">
        <v>0.9</v>
      </c>
      <c r="E28" s="23"/>
      <c r="F28" s="8"/>
    </row>
    <row r="29" spans="1:7" x14ac:dyDescent="0.3">
      <c r="A29" s="85" t="s">
        <v>25</v>
      </c>
      <c r="B29" s="1">
        <v>156</v>
      </c>
      <c r="C29" s="1">
        <v>-190</v>
      </c>
      <c r="D29" s="1">
        <v>0.97</v>
      </c>
      <c r="E29" s="1"/>
      <c r="F29" s="46"/>
      <c r="G29" s="23">
        <f>SUM(C17:C116)</f>
        <v>-3683.3662493967217</v>
      </c>
    </row>
    <row r="30" spans="1:7" customFormat="1" x14ac:dyDescent="0.3">
      <c r="A30" s="86" t="s">
        <v>32</v>
      </c>
      <c r="B30" s="1">
        <v>156</v>
      </c>
      <c r="C30" s="1">
        <v>-300</v>
      </c>
      <c r="D30" s="1">
        <v>1.29</v>
      </c>
      <c r="E30" s="1"/>
      <c r="F30" s="46">
        <f>205-SUM(D30:D133)</f>
        <v>-39.728999999999985</v>
      </c>
      <c r="G30" s="23">
        <f>SUM(C17:C133)</f>
        <v>-3683.3662493967217</v>
      </c>
    </row>
    <row r="31" spans="1:7" customFormat="1" x14ac:dyDescent="0.3">
      <c r="A31" s="86" t="s">
        <v>33</v>
      </c>
      <c r="B31" s="1">
        <v>183</v>
      </c>
      <c r="C31" s="1">
        <v>-435</v>
      </c>
      <c r="D31" s="1">
        <v>1.35</v>
      </c>
      <c r="E31" s="1"/>
      <c r="F31" s="46"/>
      <c r="G31" s="23">
        <f>SUM(C19:C134)</f>
        <v>-3685.1076575599873</v>
      </c>
    </row>
    <row r="32" spans="1:7" customFormat="1" ht="12.9" thickBot="1" x14ac:dyDescent="0.35">
      <c r="A32" s="87" t="s">
        <v>56</v>
      </c>
      <c r="B32" s="29">
        <f>2.7+0.8</f>
        <v>3.5</v>
      </c>
      <c r="C32" s="29">
        <f>-21+0.7</f>
        <v>-20.3</v>
      </c>
      <c r="D32" s="29">
        <v>1</v>
      </c>
      <c r="E32" s="29"/>
      <c r="F32" s="47"/>
      <c r="G32" s="30">
        <f>SUM(C20:C135)</f>
        <v>-3689.2076575599872</v>
      </c>
    </row>
    <row r="34" spans="1:10" customFormat="1" x14ac:dyDescent="0.3">
      <c r="A34" s="7"/>
      <c r="B34" s="8"/>
      <c r="C34" s="8"/>
      <c r="D34" s="8"/>
      <c r="E34" s="8"/>
      <c r="F34" s="48"/>
      <c r="G34" s="9"/>
    </row>
    <row r="35" spans="1:10" customFormat="1" ht="12.9" thickBot="1" x14ac:dyDescent="0.35">
      <c r="A35" s="77" t="s">
        <v>41</v>
      </c>
      <c r="B35" s="78"/>
      <c r="C35" s="78"/>
      <c r="D35" s="78"/>
      <c r="E35" s="78"/>
      <c r="F35" s="79"/>
      <c r="G35" s="80"/>
    </row>
    <row r="36" spans="1:10" customFormat="1" ht="12.9" thickTop="1" x14ac:dyDescent="0.3">
      <c r="A36" s="74" t="s">
        <v>61</v>
      </c>
      <c r="B36" s="75">
        <f>78/2.2+37/2.2</f>
        <v>52.272727272727266</v>
      </c>
      <c r="C36" s="75">
        <f>36/2.2+(7.84-1)/7.84*37/2.2</f>
        <v>31.036641929499069</v>
      </c>
      <c r="D36" s="75">
        <v>1.75</v>
      </c>
      <c r="E36" s="76">
        <f>SUM(D36:D61 )</f>
        <v>34.913999999999994</v>
      </c>
      <c r="F36" s="76"/>
      <c r="G36" s="76">
        <f t="shared" ref="G36:G74" si="2">$A$2-E36</f>
        <v>465.08600000000001</v>
      </c>
    </row>
    <row r="37" spans="1:10" customFormat="1" ht="12.9" x14ac:dyDescent="0.35">
      <c r="A37" s="71" t="s">
        <v>70</v>
      </c>
      <c r="B37" s="68">
        <f>4.4+2.3+8.63</f>
        <v>15.330000000000002</v>
      </c>
      <c r="C37" s="72">
        <f>1.2+1.8+7.52</f>
        <v>10.52</v>
      </c>
      <c r="D37" s="68">
        <v>0.9</v>
      </c>
      <c r="E37" s="69">
        <f>SUM(D37:D68 )-0.18</f>
        <v>37.713999999999999</v>
      </c>
      <c r="F37" s="69">
        <f>SUM(C37:C81)</f>
        <v>-2395.3561317254157</v>
      </c>
      <c r="G37" s="69">
        <f t="shared" si="2"/>
        <v>462.286</v>
      </c>
    </row>
    <row r="38" spans="1:10" customFormat="1" ht="12.9" x14ac:dyDescent="0.35">
      <c r="A38" s="71" t="s">
        <v>71</v>
      </c>
      <c r="B38" s="68">
        <f>4.4+2.3+8.63</f>
        <v>15.330000000000002</v>
      </c>
      <c r="C38" s="72">
        <f>1.2+1.8+7.52</f>
        <v>10.52</v>
      </c>
      <c r="D38" s="68">
        <v>1.1000000000000001</v>
      </c>
      <c r="E38" s="69">
        <f>SUM(D38:D69 )+0.18</f>
        <v>37.173999999999992</v>
      </c>
      <c r="F38" s="69">
        <f>SUM(C38:C82)</f>
        <v>-2405.8761317254152</v>
      </c>
      <c r="G38" s="69">
        <f t="shared" si="2"/>
        <v>462.82600000000002</v>
      </c>
    </row>
    <row r="39" spans="1:10" customFormat="1" ht="12.9" x14ac:dyDescent="0.35">
      <c r="A39" s="71" t="s">
        <v>85</v>
      </c>
      <c r="B39" s="68">
        <f>4.4+2.3+8.63</f>
        <v>15.330000000000002</v>
      </c>
      <c r="C39" s="72">
        <f>1.2+1.8+7.52</f>
        <v>10.52</v>
      </c>
      <c r="D39" s="68">
        <v>1.1000000000000001</v>
      </c>
      <c r="E39" s="69">
        <f>SUM(D39:D70 )+0.18</f>
        <v>38.173999999999999</v>
      </c>
      <c r="F39" s="69">
        <f>SUM(C39:C83)</f>
        <v>-2416.3961317254157</v>
      </c>
      <c r="G39" s="69">
        <f t="shared" ref="G39" si="3">$A$2-E39</f>
        <v>461.82600000000002</v>
      </c>
    </row>
    <row r="40" spans="1:10" customFormat="1" x14ac:dyDescent="0.3">
      <c r="A40" s="71" t="s">
        <v>40</v>
      </c>
      <c r="B40" s="68">
        <v>31</v>
      </c>
      <c r="C40" s="68">
        <v>24</v>
      </c>
      <c r="D40" s="68">
        <v>0.8</v>
      </c>
      <c r="E40" s="69">
        <f>SUM(D40:D64 )</f>
        <v>32.143999999999998</v>
      </c>
      <c r="F40" s="69"/>
      <c r="G40" s="69">
        <f t="shared" si="2"/>
        <v>467.85599999999999</v>
      </c>
    </row>
    <row r="41" spans="1:10" customFormat="1" x14ac:dyDescent="0.3">
      <c r="A41" s="71" t="s">
        <v>47</v>
      </c>
      <c r="B41" s="68">
        <v>30</v>
      </c>
      <c r="C41" s="68">
        <v>22</v>
      </c>
      <c r="D41" s="68">
        <v>0.75</v>
      </c>
      <c r="E41" s="69">
        <f>SUM(D41:D65 )</f>
        <v>31.843999999999994</v>
      </c>
      <c r="F41" s="69"/>
      <c r="G41" s="69">
        <f t="shared" si="2"/>
        <v>468.15600000000001</v>
      </c>
    </row>
    <row r="42" spans="1:10" s="13" customFormat="1" x14ac:dyDescent="0.3">
      <c r="A42" s="67" t="s">
        <v>23</v>
      </c>
      <c r="B42" s="68">
        <v>19</v>
      </c>
      <c r="C42" s="68">
        <v>7.3</v>
      </c>
      <c r="D42" s="68">
        <v>0.81</v>
      </c>
      <c r="E42" s="69">
        <f>SUM(D42:D74 )</f>
        <v>42.11399999999999</v>
      </c>
      <c r="F42" s="67"/>
      <c r="G42" s="69">
        <f>$A$2-E42</f>
        <v>457.88600000000002</v>
      </c>
      <c r="H42" s="14"/>
      <c r="I42" s="14"/>
      <c r="J42" s="14"/>
    </row>
    <row r="43" spans="1:10" s="13" customFormat="1" x14ac:dyDescent="0.3">
      <c r="A43" s="71" t="s">
        <v>60</v>
      </c>
      <c r="B43" s="68">
        <f>5.6+35/4.4</f>
        <v>13.554545454545455</v>
      </c>
      <c r="C43" s="68">
        <f>1.4+(7.84-1)/7.84*35/4.4</f>
        <v>8.3399350649350641</v>
      </c>
      <c r="D43" s="68">
        <v>1.17</v>
      </c>
      <c r="E43" s="69">
        <f>SUM(D43:D66 )</f>
        <v>31.433999999999994</v>
      </c>
      <c r="F43" s="69"/>
      <c r="G43" s="69">
        <f t="shared" si="2"/>
        <v>468.56600000000003</v>
      </c>
    </row>
    <row r="44" spans="1:10" x14ac:dyDescent="0.3">
      <c r="A44" s="81" t="s">
        <v>73</v>
      </c>
      <c r="B44" s="68">
        <f>40/2.2+45</f>
        <v>63.18181818181818</v>
      </c>
      <c r="C44" s="68">
        <f>0.875*40/2.2+19</f>
        <v>34.909090909090907</v>
      </c>
      <c r="D44" s="68">
        <v>2.2000000000000002</v>
      </c>
      <c r="E44" s="68">
        <f>SUM(D44:D60)-0.3</f>
        <v>25.483999999999995</v>
      </c>
      <c r="F44" s="68"/>
      <c r="G44" s="82">
        <f t="shared" si="2"/>
        <v>474.51600000000002</v>
      </c>
    </row>
    <row r="45" spans="1:10" s="13" customFormat="1" x14ac:dyDescent="0.3">
      <c r="A45" s="67" t="s">
        <v>31</v>
      </c>
      <c r="B45" s="70">
        <v>40</v>
      </c>
      <c r="C45" s="68">
        <v>21</v>
      </c>
      <c r="D45" s="68">
        <v>0.6</v>
      </c>
      <c r="E45" s="69">
        <f>SUM(D45:D67 )</f>
        <v>28.063999999999993</v>
      </c>
      <c r="F45" s="67"/>
      <c r="G45" s="69">
        <f t="shared" si="2"/>
        <v>471.93600000000004</v>
      </c>
    </row>
    <row r="46" spans="1:10" s="13" customFormat="1" x14ac:dyDescent="0.3">
      <c r="A46" s="67" t="s">
        <v>54</v>
      </c>
      <c r="B46" s="70">
        <v>65</v>
      </c>
      <c r="C46" s="68">
        <v>30</v>
      </c>
      <c r="D46" s="68">
        <v>0.55000000000000004</v>
      </c>
      <c r="E46" s="69">
        <f>SUM(D46:D68 )</f>
        <v>28.463999999999995</v>
      </c>
      <c r="F46" s="67"/>
      <c r="G46" s="69">
        <f t="shared" si="2"/>
        <v>471.536</v>
      </c>
    </row>
    <row r="47" spans="1:10" s="12" customFormat="1" x14ac:dyDescent="0.3">
      <c r="A47" s="92" t="s">
        <v>96</v>
      </c>
      <c r="B47" s="70">
        <v>40</v>
      </c>
      <c r="C47" s="68">
        <f>21-72</f>
        <v>-51</v>
      </c>
      <c r="D47" s="68">
        <v>0.6</v>
      </c>
      <c r="E47" s="69">
        <f>SUM(D47:D81)+0.2</f>
        <v>39.55899999999999</v>
      </c>
      <c r="F47" s="93"/>
      <c r="G47" s="90">
        <f>$A$2-E47</f>
        <v>460.44100000000003</v>
      </c>
    </row>
    <row r="48" spans="1:10" s="13" customFormat="1" ht="12.9" x14ac:dyDescent="0.35">
      <c r="A48" s="67" t="s">
        <v>68</v>
      </c>
      <c r="B48" s="68">
        <v>149</v>
      </c>
      <c r="C48" s="68">
        <f>-136+4.5</f>
        <v>-131.5</v>
      </c>
      <c r="D48" s="68">
        <v>1.43</v>
      </c>
      <c r="E48" s="69">
        <f>SUM(D48:D75 )-0.3</f>
        <v>37.16899999999999</v>
      </c>
      <c r="F48" s="69">
        <f>SUM(C48:C83)</f>
        <v>-2523.4651576994415</v>
      </c>
      <c r="G48" s="69">
        <f t="shared" si="2"/>
        <v>462.83100000000002</v>
      </c>
    </row>
    <row r="49" spans="1:10" s="13" customFormat="1" ht="12.9" x14ac:dyDescent="0.35">
      <c r="A49" s="67" t="s">
        <v>69</v>
      </c>
      <c r="B49" s="68">
        <v>149</v>
      </c>
      <c r="C49" s="68">
        <f>-136+4.5</f>
        <v>-131.5</v>
      </c>
      <c r="D49" s="68">
        <v>1.43</v>
      </c>
      <c r="E49" s="69">
        <f>SUM(D51:D76 )+0.3</f>
        <v>34.198999999999998</v>
      </c>
      <c r="F49" s="69">
        <f>SUM(C49:C94)</f>
        <v>-2136.9352674847141</v>
      </c>
      <c r="G49" s="69">
        <f t="shared" si="2"/>
        <v>465.80099999999999</v>
      </c>
    </row>
    <row r="50" spans="1:10" s="13" customFormat="1" x14ac:dyDescent="0.3">
      <c r="A50" s="67" t="s">
        <v>82</v>
      </c>
      <c r="B50" s="68"/>
      <c r="C50" s="68">
        <f>-(600/2.2)+43.4</f>
        <v>-229.32727272727269</v>
      </c>
      <c r="D50" s="68">
        <v>2</v>
      </c>
      <c r="E50" s="69">
        <f>SUM(D53:D77 )+0.3</f>
        <v>30.999000000000002</v>
      </c>
      <c r="F50" s="69"/>
      <c r="G50" s="69"/>
    </row>
    <row r="51" spans="1:10" s="13" customFormat="1" ht="12.9" x14ac:dyDescent="0.35">
      <c r="A51" s="67" t="s">
        <v>78</v>
      </c>
      <c r="B51" s="68">
        <f>208+56</f>
        <v>264</v>
      </c>
      <c r="C51" s="68">
        <f>-160+43.4</f>
        <v>-116.6</v>
      </c>
      <c r="D51" s="68">
        <v>1.5</v>
      </c>
      <c r="E51" s="69">
        <f>SUM(D51:D75 )-0.3</f>
        <v>32.309000000000005</v>
      </c>
      <c r="F51" s="69">
        <f>SUM(C51:C90)</f>
        <v>-1776.1410294185639</v>
      </c>
      <c r="G51" s="69">
        <f t="shared" ref="G51:G53" si="4">$A$2-E51</f>
        <v>467.69099999999997</v>
      </c>
    </row>
    <row r="52" spans="1:10" s="13" customFormat="1" x14ac:dyDescent="0.3">
      <c r="A52" s="89" t="s">
        <v>91</v>
      </c>
      <c r="B52" s="68">
        <f>225+13</f>
        <v>238</v>
      </c>
      <c r="C52" s="68">
        <f>-180+4.5</f>
        <v>-175.5</v>
      </c>
      <c r="D52" s="68">
        <v>1.7</v>
      </c>
      <c r="E52" s="69">
        <f>SUM(D52:D86 )-0.3</f>
        <v>62.099000000000004</v>
      </c>
      <c r="F52" s="91">
        <f>$A$2-E52</f>
        <v>437.90100000000001</v>
      </c>
      <c r="G52" s="90">
        <f t="shared" si="4"/>
        <v>437.90100000000001</v>
      </c>
    </row>
    <row r="53" spans="1:10" s="13" customFormat="1" ht="12.9" x14ac:dyDescent="0.35">
      <c r="A53" s="67" t="s">
        <v>92</v>
      </c>
      <c r="B53" s="68">
        <f>208+13</f>
        <v>221</v>
      </c>
      <c r="C53" s="68">
        <f>-160+4.5</f>
        <v>-155.5</v>
      </c>
      <c r="D53" s="68">
        <v>1.5</v>
      </c>
      <c r="E53" s="69">
        <f>SUM(D53:D76 )-0.3</f>
        <v>30.399000000000001</v>
      </c>
      <c r="F53" s="69">
        <f>SUM(C53:C94)</f>
        <v>-1484.0079947574429</v>
      </c>
      <c r="G53" s="69">
        <f t="shared" si="4"/>
        <v>469.601</v>
      </c>
    </row>
    <row r="54" spans="1:10" s="13" customFormat="1" ht="12.9" x14ac:dyDescent="0.35">
      <c r="A54" s="67" t="s">
        <v>94</v>
      </c>
      <c r="B54" s="68">
        <f>197.8+56</f>
        <v>253.8</v>
      </c>
      <c r="C54" s="68">
        <f>-175+4.5</f>
        <v>-170.5</v>
      </c>
      <c r="D54" s="68">
        <v>1.5</v>
      </c>
      <c r="E54" s="69">
        <f>SUM(D54:D78 )-0.3</f>
        <v>28.899000000000004</v>
      </c>
      <c r="F54" s="69">
        <f>SUM(C54:C96)</f>
        <v>-1328.2456453124016</v>
      </c>
      <c r="G54" s="69">
        <f t="shared" si="2"/>
        <v>471.101</v>
      </c>
    </row>
    <row r="55" spans="1:10" s="13" customFormat="1" ht="12.9" x14ac:dyDescent="0.35">
      <c r="A55" s="67" t="s">
        <v>95</v>
      </c>
      <c r="B55" s="68">
        <f>197+56</f>
        <v>253</v>
      </c>
      <c r="C55" s="68">
        <f>-175+4.5</f>
        <v>-170.5</v>
      </c>
      <c r="D55" s="68">
        <v>1.5</v>
      </c>
      <c r="E55" s="69">
        <f>SUM(D56:D79 )+0.3</f>
        <v>26.499000000000006</v>
      </c>
      <c r="F55" s="69">
        <f>SUM(C55:C97)</f>
        <v>-1157.7566759246465</v>
      </c>
      <c r="G55" s="69">
        <f t="shared" si="2"/>
        <v>473.50099999999998</v>
      </c>
    </row>
    <row r="56" spans="1:10" s="13" customFormat="1" ht="12.9" x14ac:dyDescent="0.35">
      <c r="A56" s="67" t="s">
        <v>80</v>
      </c>
      <c r="B56" s="68">
        <f>362+86</f>
        <v>448</v>
      </c>
      <c r="C56" s="68">
        <f>-341+55</f>
        <v>-286</v>
      </c>
      <c r="D56" s="68">
        <v>2.13</v>
      </c>
      <c r="E56" s="69">
        <f t="shared" ref="E56:E57" si="5">SUM(D56:D80 )</f>
        <v>26.199000000000005</v>
      </c>
      <c r="F56" s="67"/>
      <c r="G56" s="69">
        <f t="shared" si="2"/>
        <v>473.80099999999999</v>
      </c>
      <c r="H56" s="14"/>
      <c r="I56" s="14"/>
      <c r="J56" s="14"/>
    </row>
    <row r="57" spans="1:10" s="13" customFormat="1" ht="12.9" x14ac:dyDescent="0.35">
      <c r="A57" s="67" t="s">
        <v>81</v>
      </c>
      <c r="B57" s="68">
        <f>362+86+4</f>
        <v>452</v>
      </c>
      <c r="C57" s="68">
        <f>-341+55+3</f>
        <v>-283</v>
      </c>
      <c r="D57" s="68">
        <v>2.13</v>
      </c>
      <c r="E57" s="69">
        <f t="shared" si="5"/>
        <v>24.068999999999999</v>
      </c>
      <c r="F57" s="67"/>
      <c r="G57" s="69">
        <f t="shared" si="2"/>
        <v>475.93099999999998</v>
      </c>
      <c r="H57" s="14"/>
      <c r="I57" s="14"/>
      <c r="J57" s="14"/>
    </row>
    <row r="58" spans="1:10" s="13" customFormat="1" ht="12.9" x14ac:dyDescent="0.35">
      <c r="A58" s="71" t="s">
        <v>75</v>
      </c>
      <c r="B58" s="68">
        <f>830/2.2+86</f>
        <v>463.27272727272725</v>
      </c>
      <c r="C58" s="68">
        <f>-309+55</f>
        <v>-254</v>
      </c>
      <c r="D58" s="68">
        <v>2.1339999999999999</v>
      </c>
      <c r="E58" s="69">
        <f>SUM(D58:D74 )-0.3</f>
        <v>19.064</v>
      </c>
      <c r="F58" s="69"/>
      <c r="G58" s="69">
        <f t="shared" ref="G58" si="6">$A$2-E58</f>
        <v>480.93599999999998</v>
      </c>
      <c r="H58" s="14"/>
      <c r="I58" s="14"/>
      <c r="J58" s="14"/>
    </row>
    <row r="59" spans="1:10" s="13" customFormat="1" ht="12.9" x14ac:dyDescent="0.35">
      <c r="A59" s="71" t="s">
        <v>76</v>
      </c>
      <c r="B59" s="68">
        <f>830/2.2+86</f>
        <v>463.27272727272725</v>
      </c>
      <c r="C59" s="68">
        <f>-309+55</f>
        <v>-254</v>
      </c>
      <c r="D59" s="68">
        <v>2.13</v>
      </c>
      <c r="E59" s="69">
        <f>SUM(D60:D75 )+0.3</f>
        <v>16.684999999999999</v>
      </c>
      <c r="F59" s="69"/>
      <c r="G59" s="69">
        <f t="shared" si="2"/>
        <v>483.315</v>
      </c>
      <c r="H59" s="14"/>
      <c r="I59" s="14"/>
      <c r="J59" s="14"/>
    </row>
    <row r="60" spans="1:10" s="13" customFormat="1" ht="12" customHeight="1" x14ac:dyDescent="0.3">
      <c r="A60" s="71" t="s">
        <v>20</v>
      </c>
      <c r="B60" s="68">
        <v>31</v>
      </c>
      <c r="C60" s="68">
        <f>18.5+5.25</f>
        <v>23.75</v>
      </c>
      <c r="D60" s="68">
        <v>0.75</v>
      </c>
      <c r="E60" s="69">
        <f t="shared" ref="E60:E67" si="7">SUM(D60:D76 )</f>
        <v>17.674999999999997</v>
      </c>
      <c r="F60" s="69"/>
      <c r="G60" s="69">
        <f t="shared" si="2"/>
        <v>482.32499999999999</v>
      </c>
      <c r="H60" s="14"/>
      <c r="I60" s="14"/>
      <c r="J60" s="14"/>
    </row>
    <row r="61" spans="1:10" s="13" customFormat="1" ht="12" customHeight="1" x14ac:dyDescent="0.3">
      <c r="A61" s="73" t="s">
        <v>18</v>
      </c>
      <c r="B61" s="68">
        <v>26.6</v>
      </c>
      <c r="C61" s="68">
        <v>17.3</v>
      </c>
      <c r="D61" s="68">
        <v>0.75</v>
      </c>
      <c r="E61" s="69">
        <f t="shared" si="7"/>
        <v>16.925000000000001</v>
      </c>
      <c r="F61" s="67"/>
      <c r="G61" s="69">
        <f t="shared" si="2"/>
        <v>483.07499999999999</v>
      </c>
      <c r="H61" s="14"/>
      <c r="I61" s="14"/>
      <c r="J61" s="14"/>
    </row>
    <row r="62" spans="1:10" s="12" customFormat="1" x14ac:dyDescent="0.3">
      <c r="A62" s="71" t="s">
        <v>19</v>
      </c>
      <c r="B62" s="68">
        <v>26.6</v>
      </c>
      <c r="C62" s="68">
        <v>17.3</v>
      </c>
      <c r="D62" s="68">
        <v>0.75</v>
      </c>
      <c r="E62" s="69">
        <f t="shared" si="7"/>
        <v>16.175000000000001</v>
      </c>
      <c r="F62" s="69"/>
      <c r="G62" s="69">
        <f t="shared" si="2"/>
        <v>483.82499999999999</v>
      </c>
      <c r="H62" s="14"/>
    </row>
    <row r="63" spans="1:10" s="12" customFormat="1" x14ac:dyDescent="0.3">
      <c r="A63" s="73" t="s">
        <v>17</v>
      </c>
      <c r="B63" s="68">
        <f>13.6+12.2</f>
        <v>25.799999999999997</v>
      </c>
      <c r="C63" s="68">
        <v>18.3</v>
      </c>
      <c r="D63" s="68">
        <v>0.5</v>
      </c>
      <c r="E63" s="69">
        <f t="shared" si="7"/>
        <v>15.425000000000001</v>
      </c>
      <c r="F63" s="67"/>
      <c r="G63" s="69">
        <f t="shared" si="2"/>
        <v>484.57499999999999</v>
      </c>
      <c r="H63" s="13"/>
    </row>
    <row r="64" spans="1:10" s="12" customFormat="1" x14ac:dyDescent="0.3">
      <c r="A64" s="67" t="s">
        <v>15</v>
      </c>
      <c r="B64" s="68">
        <v>30</v>
      </c>
      <c r="C64" s="68">
        <v>22</v>
      </c>
      <c r="D64" s="68">
        <v>0.83</v>
      </c>
      <c r="E64" s="69">
        <f t="shared" si="7"/>
        <v>14.925000000000001</v>
      </c>
      <c r="F64" s="67"/>
      <c r="G64" s="69">
        <f t="shared" si="2"/>
        <v>485.07499999999999</v>
      </c>
    </row>
    <row r="65" spans="1:10" s="13" customFormat="1" x14ac:dyDescent="0.3">
      <c r="A65" s="71" t="s">
        <v>11</v>
      </c>
      <c r="B65" s="68">
        <v>8</v>
      </c>
      <c r="C65" s="68">
        <v>1.8</v>
      </c>
      <c r="D65" s="68">
        <v>0.5</v>
      </c>
      <c r="E65" s="69">
        <f t="shared" si="7"/>
        <v>14.094999999999999</v>
      </c>
      <c r="F65" s="69"/>
      <c r="G65" s="69">
        <f t="shared" si="2"/>
        <v>485.90499999999997</v>
      </c>
    </row>
    <row r="66" spans="1:10" s="13" customFormat="1" ht="12" customHeight="1" x14ac:dyDescent="0.3">
      <c r="A66" s="73" t="s">
        <v>51</v>
      </c>
      <c r="B66" s="68">
        <f>7.3+11.4</f>
        <v>18.7</v>
      </c>
      <c r="C66" s="68">
        <f>2.3 +(7.84-1)/7.84*11.4</f>
        <v>12.245918367346938</v>
      </c>
      <c r="D66" s="68">
        <v>1.1499999999999999</v>
      </c>
      <c r="E66" s="69">
        <f t="shared" si="7"/>
        <v>13.594999999999999</v>
      </c>
      <c r="F66" s="67"/>
      <c r="G66" s="69">
        <f t="shared" si="2"/>
        <v>486.40499999999997</v>
      </c>
      <c r="H66" s="14"/>
      <c r="I66" s="14"/>
      <c r="J66" s="14"/>
    </row>
    <row r="67" spans="1:10" s="13" customFormat="1" x14ac:dyDescent="0.3">
      <c r="A67" s="71" t="s">
        <v>72</v>
      </c>
      <c r="B67" s="68">
        <v>3.8</v>
      </c>
      <c r="C67" s="68">
        <v>2.8</v>
      </c>
      <c r="D67" s="68">
        <v>0</v>
      </c>
      <c r="E67" s="69">
        <f t="shared" si="7"/>
        <v>12.445</v>
      </c>
      <c r="F67" s="69"/>
      <c r="G67" s="69">
        <f t="shared" si="2"/>
        <v>487.55500000000001</v>
      </c>
      <c r="H67" s="14"/>
    </row>
    <row r="68" spans="1:10" s="12" customFormat="1" x14ac:dyDescent="0.3">
      <c r="A68" s="71" t="s">
        <v>52</v>
      </c>
      <c r="B68" s="68">
        <f>21.5/2.2+6</f>
        <v>15.772727272727272</v>
      </c>
      <c r="C68" s="68">
        <f>(7.84-1)/7.84*10.4+4</f>
        <v>13.073469387755102</v>
      </c>
      <c r="D68" s="68">
        <v>1</v>
      </c>
      <c r="E68" s="69">
        <f>SUM(D68:D84 )</f>
        <v>22.445</v>
      </c>
      <c r="F68" s="69"/>
      <c r="G68" s="69">
        <f t="shared" si="2"/>
        <v>477.55500000000001</v>
      </c>
    </row>
    <row r="69" spans="1:10" s="13" customFormat="1" x14ac:dyDescent="0.3">
      <c r="A69" s="71" t="s">
        <v>26</v>
      </c>
      <c r="B69" s="68"/>
      <c r="C69" s="68"/>
      <c r="D69" s="68">
        <v>0</v>
      </c>
      <c r="E69" s="69">
        <f>SUM(D69:D86 )</f>
        <v>41.445</v>
      </c>
      <c r="F69" s="69"/>
      <c r="G69" s="69">
        <f t="shared" si="2"/>
        <v>458.55500000000001</v>
      </c>
    </row>
    <row r="70" spans="1:10" s="12" customFormat="1" x14ac:dyDescent="0.3">
      <c r="A70" s="71" t="s">
        <v>45</v>
      </c>
      <c r="B70" s="68">
        <v>56</v>
      </c>
      <c r="C70" s="68">
        <v>50</v>
      </c>
      <c r="D70" s="68">
        <v>2.1</v>
      </c>
      <c r="E70" s="69">
        <f>SUM(D70:D84)-0.3</f>
        <v>21.145</v>
      </c>
      <c r="F70" s="69">
        <f t="shared" ref="F70:F76" si="8">SUM(C70:C111)</f>
        <v>-37.695440491342879</v>
      </c>
      <c r="G70" s="69">
        <f t="shared" si="2"/>
        <v>478.85500000000002</v>
      </c>
    </row>
    <row r="71" spans="1:10" s="12" customFormat="1" x14ac:dyDescent="0.3">
      <c r="A71" s="71" t="s">
        <v>58</v>
      </c>
      <c r="B71" s="68">
        <v>56</v>
      </c>
      <c r="C71" s="68">
        <f>50+20-(600/2.2)</f>
        <v>-202.72727272727269</v>
      </c>
      <c r="D71" s="68">
        <v>2.1</v>
      </c>
      <c r="E71" s="69">
        <f t="shared" ref="E71:E76" si="9">SUM(D71:D113 )-0.3</f>
        <v>199.04499999999999</v>
      </c>
      <c r="F71" s="69">
        <f t="shared" si="8"/>
        <v>-87.695440491342865</v>
      </c>
      <c r="G71" s="69">
        <f t="shared" si="2"/>
        <v>300.95500000000004</v>
      </c>
    </row>
    <row r="72" spans="1:10" s="13" customFormat="1" x14ac:dyDescent="0.3">
      <c r="A72" s="71" t="s">
        <v>59</v>
      </c>
      <c r="B72" s="68">
        <v>56</v>
      </c>
      <c r="C72" s="68">
        <v>50</v>
      </c>
      <c r="D72" s="68">
        <v>2.1</v>
      </c>
      <c r="E72" s="69">
        <f t="shared" si="9"/>
        <v>196.94499999999999</v>
      </c>
      <c r="F72" s="69">
        <f t="shared" si="8"/>
        <v>115.03183223592991</v>
      </c>
      <c r="G72" s="69">
        <f t="shared" si="2"/>
        <v>303.05500000000001</v>
      </c>
      <c r="H72" s="14"/>
      <c r="I72" s="14"/>
      <c r="J72" s="14"/>
    </row>
    <row r="73" spans="1:10" s="12" customFormat="1" x14ac:dyDescent="0.3">
      <c r="A73" s="71" t="s">
        <v>46</v>
      </c>
      <c r="B73" s="68">
        <f>13+13.5+4*2.7</f>
        <v>37.299999999999997</v>
      </c>
      <c r="C73" s="68">
        <f>11.78+4.5-4*21</f>
        <v>-67.72</v>
      </c>
      <c r="D73" s="68">
        <v>1.2849999999999999</v>
      </c>
      <c r="E73" s="69">
        <f t="shared" si="9"/>
        <v>194.84499999999997</v>
      </c>
      <c r="F73" s="69">
        <f t="shared" si="8"/>
        <v>65.031832235929912</v>
      </c>
      <c r="G73" s="69">
        <f t="shared" si="2"/>
        <v>305.15500000000003</v>
      </c>
      <c r="H73" s="15"/>
      <c r="I73" s="14"/>
      <c r="J73" s="15"/>
    </row>
    <row r="74" spans="1:10" s="13" customFormat="1" x14ac:dyDescent="0.3">
      <c r="A74" s="71" t="s">
        <v>50</v>
      </c>
      <c r="B74" s="68">
        <f>13+13.5+4*2.7</f>
        <v>37.299999999999997</v>
      </c>
      <c r="C74" s="68">
        <f>11.78+4.5-8*21</f>
        <v>-151.72</v>
      </c>
      <c r="D74" s="68">
        <v>1.2849999999999999</v>
      </c>
      <c r="E74" s="69">
        <f t="shared" si="9"/>
        <v>193.56</v>
      </c>
      <c r="F74" s="69">
        <f t="shared" si="8"/>
        <v>132.75183223592984</v>
      </c>
      <c r="G74" s="69">
        <f t="shared" si="2"/>
        <v>306.44</v>
      </c>
    </row>
    <row r="75" spans="1:10" s="12" customFormat="1" x14ac:dyDescent="0.3">
      <c r="A75" s="71" t="s">
        <v>74</v>
      </c>
      <c r="B75" s="68">
        <f>13+13.5</f>
        <v>26.5</v>
      </c>
      <c r="C75" s="68">
        <f>11.78+4.5</f>
        <v>16.28</v>
      </c>
      <c r="D75" s="68">
        <v>1.2849999999999999</v>
      </c>
      <c r="E75" s="69">
        <f t="shared" si="9"/>
        <v>192.27499999999998</v>
      </c>
      <c r="F75" s="69">
        <f t="shared" si="8"/>
        <v>284.47183223592998</v>
      </c>
      <c r="G75" s="69">
        <f t="shared" ref="G75" si="10">$A$2-E75</f>
        <v>307.72500000000002</v>
      </c>
      <c r="H75" s="15"/>
      <c r="I75" s="14"/>
      <c r="J75" s="15"/>
    </row>
    <row r="76" spans="1:10" s="12" customFormat="1" x14ac:dyDescent="0.3">
      <c r="A76" s="71" t="s">
        <v>83</v>
      </c>
      <c r="B76" s="68">
        <f>13+13.5</f>
        <v>26.5</v>
      </c>
      <c r="C76" s="68">
        <f>11.78</f>
        <v>11.78</v>
      </c>
      <c r="D76" s="68">
        <v>1.29</v>
      </c>
      <c r="E76" s="69">
        <f t="shared" si="9"/>
        <v>190.98999999999998</v>
      </c>
      <c r="F76" s="69">
        <f t="shared" si="8"/>
        <v>268.19183223592995</v>
      </c>
      <c r="G76" s="69">
        <f t="shared" ref="G76" si="11">$A$2-E76</f>
        <v>309.01</v>
      </c>
      <c r="H76" s="15"/>
      <c r="I76" s="14"/>
      <c r="J76" s="15"/>
    </row>
    <row r="81" spans="1:7" x14ac:dyDescent="0.3">
      <c r="A81" s="16"/>
      <c r="B81" s="6"/>
      <c r="C81" s="6"/>
      <c r="D81" s="6"/>
      <c r="E81" s="6"/>
      <c r="F81" s="50"/>
      <c r="G81" s="6"/>
    </row>
    <row r="82" spans="1:7" ht="12.9" thickBot="1" x14ac:dyDescent="0.35">
      <c r="A82" s="32"/>
      <c r="B82" s="33"/>
      <c r="C82" s="33"/>
      <c r="D82" s="33"/>
      <c r="E82" s="33"/>
      <c r="F82" s="49"/>
      <c r="G82" s="33"/>
    </row>
    <row r="83" spans="1:7" ht="12.9" thickBot="1" x14ac:dyDescent="0.35">
      <c r="A83" s="63" t="s">
        <v>42</v>
      </c>
      <c r="B83" s="64"/>
      <c r="C83" s="64"/>
      <c r="D83" s="64"/>
      <c r="E83" s="64"/>
      <c r="F83" s="65"/>
      <c r="G83" s="66"/>
    </row>
    <row r="84" spans="1:7" s="83" customFormat="1" ht="15" thickTop="1" x14ac:dyDescent="0.4">
      <c r="A84" s="51" t="s">
        <v>77</v>
      </c>
      <c r="B84" s="52">
        <f>5.2*D84/100</f>
        <v>0.52</v>
      </c>
      <c r="C84" s="52">
        <f>(1.2-1)/1.2*B84</f>
        <v>8.6666666666666656E-2</v>
      </c>
      <c r="D84" s="53">
        <v>10</v>
      </c>
      <c r="E84" s="88">
        <f>D84/(1+0.4%)</f>
        <v>9.9601593625498008</v>
      </c>
      <c r="F84" s="53"/>
      <c r="G84" s="54"/>
    </row>
    <row r="85" spans="1:7" s="10" customFormat="1" x14ac:dyDescent="0.3">
      <c r="A85" s="55" t="s">
        <v>90</v>
      </c>
      <c r="B85" s="52">
        <f>2.27/100*D85</f>
        <v>0.22700000000000001</v>
      </c>
      <c r="C85" s="56">
        <f>(0.98-1.027)/0.98*B85</f>
        <v>-1.0886734693877536E-2</v>
      </c>
      <c r="D85" s="53">
        <v>10</v>
      </c>
      <c r="E85" s="53"/>
      <c r="F85" s="53"/>
      <c r="G85" s="54"/>
    </row>
    <row r="86" spans="1:7" s="10" customFormat="1" x14ac:dyDescent="0.3">
      <c r="A86" s="51" t="s">
        <v>34</v>
      </c>
      <c r="B86" s="52">
        <f>0.033*D86</f>
        <v>0.33</v>
      </c>
      <c r="C86" s="52">
        <f>(1.4-1)/1.39*B86</f>
        <v>9.4964028776978404E-2</v>
      </c>
      <c r="D86" s="53">
        <v>10</v>
      </c>
      <c r="E86" s="53"/>
      <c r="F86" s="53"/>
      <c r="G86" s="54"/>
    </row>
    <row r="87" spans="1:7" s="10" customFormat="1" x14ac:dyDescent="0.3">
      <c r="A87" s="51" t="s">
        <v>89</v>
      </c>
      <c r="B87" s="52">
        <f>780/90*3.2808*D87</f>
        <v>284.33600000000001</v>
      </c>
      <c r="C87" s="52">
        <f>0.875*B87</f>
        <v>248.79400000000001</v>
      </c>
      <c r="D87" s="53">
        <v>10</v>
      </c>
      <c r="E87" s="53"/>
      <c r="F87" s="53"/>
      <c r="G87" s="54"/>
    </row>
    <row r="88" spans="1:7" s="11" customFormat="1" x14ac:dyDescent="0.3">
      <c r="A88" s="51" t="s">
        <v>21</v>
      </c>
      <c r="B88" s="52">
        <f>(0.153*3.2808/2.2*(D88+1))+1.43</f>
        <v>3.9398119999999999</v>
      </c>
      <c r="C88" s="52">
        <f>0.875*B88</f>
        <v>3.4473354999999999</v>
      </c>
      <c r="D88" s="53">
        <v>10</v>
      </c>
      <c r="E88" s="53"/>
      <c r="F88" s="53"/>
      <c r="G88" s="54"/>
    </row>
    <row r="89" spans="1:7" s="10" customFormat="1" x14ac:dyDescent="0.3">
      <c r="A89" s="55" t="s">
        <v>22</v>
      </c>
      <c r="B89" s="52">
        <f>(0.0997*3.2808/2.2*(D89+1))+1.345</f>
        <v>2.9804787999999998</v>
      </c>
      <c r="C89" s="52">
        <f>0.875*B89</f>
        <v>2.6079189499999997</v>
      </c>
      <c r="D89" s="53">
        <v>10</v>
      </c>
      <c r="E89" s="53"/>
      <c r="F89" s="53"/>
      <c r="G89" s="54"/>
    </row>
    <row r="90" spans="1:7" s="10" customFormat="1" x14ac:dyDescent="0.3">
      <c r="A90" s="55" t="s">
        <v>55</v>
      </c>
      <c r="B90" s="52">
        <v>0.18</v>
      </c>
      <c r="C90" s="52">
        <f>(0.91-1.027)/0.91*B90</f>
        <v>-2.3142857142857121E-2</v>
      </c>
      <c r="D90" s="53">
        <v>10</v>
      </c>
      <c r="E90" s="53"/>
      <c r="F90" s="53"/>
      <c r="G90" s="54"/>
    </row>
    <row r="91" spans="1:7" s="10" customFormat="1" x14ac:dyDescent="0.3">
      <c r="A91" s="55" t="s">
        <v>86</v>
      </c>
      <c r="B91" s="52">
        <f>0.347*D91</f>
        <v>3.4699999999999998</v>
      </c>
      <c r="C91" s="52">
        <f>(0.94-1.027)/0.94*B91</f>
        <v>-0.32115957446808496</v>
      </c>
      <c r="D91" s="53">
        <v>10</v>
      </c>
      <c r="E91" s="53"/>
      <c r="F91" s="53"/>
      <c r="G91" s="54"/>
    </row>
    <row r="92" spans="1:7" s="10" customFormat="1" x14ac:dyDescent="0.3">
      <c r="A92" s="55" t="s">
        <v>87</v>
      </c>
      <c r="B92" s="52">
        <f>0.391*D92</f>
        <v>3.91</v>
      </c>
      <c r="C92" s="52">
        <f>(1.14-1.027)/1.14*B92</f>
        <v>0.38757017543859651</v>
      </c>
      <c r="D92" s="53">
        <v>10</v>
      </c>
      <c r="E92" s="53"/>
      <c r="F92" s="53"/>
      <c r="G92" s="54"/>
    </row>
    <row r="93" spans="1:7" s="10" customFormat="1" x14ac:dyDescent="0.3">
      <c r="A93" s="55" t="s">
        <v>88</v>
      </c>
      <c r="B93" s="52">
        <f>0.336*D93</f>
        <v>3.3600000000000003</v>
      </c>
      <c r="C93" s="52">
        <f>(1.14-1.027)/1.14*B93</f>
        <v>0.33305263157894743</v>
      </c>
      <c r="D93" s="53">
        <v>10</v>
      </c>
      <c r="E93" s="53"/>
      <c r="F93" s="53"/>
      <c r="G93" s="54"/>
    </row>
    <row r="94" spans="1:7" s="10" customFormat="1" x14ac:dyDescent="0.3">
      <c r="A94" s="55" t="s">
        <v>63</v>
      </c>
      <c r="B94" s="52">
        <f>0.285*D94</f>
        <v>2.8499999999999996</v>
      </c>
      <c r="C94" s="52">
        <f>(0.91-1.027)/0.91*B94</f>
        <v>-0.36642857142857105</v>
      </c>
      <c r="D94" s="53">
        <v>10</v>
      </c>
      <c r="E94" s="53"/>
      <c r="F94" s="53"/>
      <c r="G94" s="54"/>
    </row>
    <row r="95" spans="1:7" s="10" customFormat="1" x14ac:dyDescent="0.3">
      <c r="A95" s="55" t="s">
        <v>35</v>
      </c>
      <c r="B95" s="52">
        <f>0.223*D95</f>
        <v>2.23</v>
      </c>
      <c r="C95" s="52">
        <f>(1.14-1)/1.14*B95</f>
        <v>0.27385964912280686</v>
      </c>
      <c r="D95" s="53">
        <v>10</v>
      </c>
      <c r="E95" s="53"/>
      <c r="F95" s="53"/>
      <c r="G95" s="54"/>
    </row>
    <row r="96" spans="1:7" s="10" customFormat="1" x14ac:dyDescent="0.3">
      <c r="A96" s="55" t="s">
        <v>36</v>
      </c>
      <c r="B96" s="52">
        <f>0.024*D96</f>
        <v>0.24</v>
      </c>
      <c r="C96" s="56">
        <f>(0.98-1.027)/0.98*B96</f>
        <v>-1.1510204081632636E-2</v>
      </c>
      <c r="D96" s="53">
        <v>10</v>
      </c>
      <c r="E96" s="53"/>
      <c r="F96" s="53"/>
      <c r="G96" s="54"/>
    </row>
    <row r="97" spans="1:7" s="10" customFormat="1" x14ac:dyDescent="0.3">
      <c r="A97" s="55" t="s">
        <v>90</v>
      </c>
      <c r="B97" s="52">
        <f>0.023*D97</f>
        <v>0.22999999999999998</v>
      </c>
      <c r="C97" s="56">
        <f>(0.98-1.027)/0.98*B97</f>
        <v>-1.1030612244897943E-2</v>
      </c>
      <c r="D97" s="53">
        <v>10</v>
      </c>
      <c r="E97" s="53"/>
      <c r="F97" s="53"/>
      <c r="G97" s="54"/>
    </row>
    <row r="98" spans="1:7" s="10" customFormat="1" x14ac:dyDescent="0.3">
      <c r="A98" s="55" t="s">
        <v>93</v>
      </c>
      <c r="B98" s="52">
        <f>0.031*D98</f>
        <v>0.31</v>
      </c>
      <c r="C98" s="57">
        <f>(1.38-1.027)/1.38*B98</f>
        <v>7.9297101449275362E-2</v>
      </c>
      <c r="D98" s="53">
        <v>10</v>
      </c>
      <c r="E98" s="53"/>
      <c r="F98" s="53"/>
      <c r="G98" s="54"/>
    </row>
    <row r="99" spans="1:7" s="10" customFormat="1" x14ac:dyDescent="0.3">
      <c r="A99" s="55" t="s">
        <v>64</v>
      </c>
      <c r="B99" s="52">
        <f>0.048*D99</f>
        <v>0.48</v>
      </c>
      <c r="C99" s="57">
        <f>(1.38-1.027)/1.38*B99</f>
        <v>0.12278260869565218</v>
      </c>
      <c r="D99" s="53">
        <v>10</v>
      </c>
      <c r="E99" s="53"/>
      <c r="F99" s="53"/>
      <c r="G99" s="54"/>
    </row>
    <row r="100" spans="1:7" s="10" customFormat="1" x14ac:dyDescent="0.3">
      <c r="A100" s="55" t="s">
        <v>62</v>
      </c>
      <c r="B100" s="52">
        <f>0.062*D100</f>
        <v>0.62</v>
      </c>
      <c r="C100" s="57">
        <f>(1.38-1.027)/1.38*B100</f>
        <v>0.15859420289855072</v>
      </c>
      <c r="D100" s="53">
        <v>10</v>
      </c>
      <c r="E100" s="53"/>
      <c r="F100" s="53"/>
      <c r="G100" s="54"/>
    </row>
    <row r="101" spans="1:7" s="10" customFormat="1" x14ac:dyDescent="0.3">
      <c r="A101" s="55" t="s">
        <v>38</v>
      </c>
      <c r="B101" s="52">
        <f>0.122*D101</f>
        <v>1.22</v>
      </c>
      <c r="C101" s="57">
        <f>(1.38-1.027)/1.38*B101</f>
        <v>0.31207246376811593</v>
      </c>
      <c r="D101" s="53">
        <v>10</v>
      </c>
      <c r="E101" s="53"/>
      <c r="F101" s="53"/>
      <c r="G101" s="54"/>
    </row>
    <row r="102" spans="1:7" s="10" customFormat="1" ht="12.9" thickBot="1" x14ac:dyDescent="0.35">
      <c r="A102" s="58" t="s">
        <v>39</v>
      </c>
      <c r="B102" s="59">
        <f>0.179*D102</f>
        <v>1.79</v>
      </c>
      <c r="C102" s="60">
        <f>(1.38-1.027)/1.38*B102</f>
        <v>0.4578768115942029</v>
      </c>
      <c r="D102" s="61">
        <v>10</v>
      </c>
      <c r="E102" s="61"/>
      <c r="F102" s="61"/>
      <c r="G102" s="62"/>
    </row>
    <row r="103" spans="1:7" s="10" customFormat="1" x14ac:dyDescent="0.3">
      <c r="A103" s="41"/>
      <c r="B103" s="42"/>
      <c r="C103" s="43"/>
      <c r="D103" s="41"/>
      <c r="E103" s="41"/>
      <c r="F103" s="41"/>
      <c r="G103" s="41"/>
    </row>
    <row r="104" spans="1:7" s="10" customFormat="1" x14ac:dyDescent="0.3"/>
  </sheetData>
  <sortState xmlns:xlrd2="http://schemas.microsoft.com/office/spreadsheetml/2017/richdata2" ref="A35:G66">
    <sortCondition ref="A35"/>
  </sortState>
  <phoneticPr fontId="2" type="noConversion"/>
  <pageMargins left="0.75" right="0.75" top="1" bottom="1" header="0.5" footer="0.5"/>
  <pageSetup paperSize="5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speard</dc:creator>
  <cp:lastModifiedBy>Spear, David</cp:lastModifiedBy>
  <cp:lastPrinted>2017-06-16T15:43:32Z</cp:lastPrinted>
  <dcterms:created xsi:type="dcterms:W3CDTF">2001-06-13T18:06:08Z</dcterms:created>
  <dcterms:modified xsi:type="dcterms:W3CDTF">2023-03-14T20:04:35Z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2021-03-10T17:49:07Z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f1d51130-ccc0-459c-9b5d-00008723c654</vt:lpwstr>
  </property>
</Properties>
</file>